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4725" yWindow="2175" windowWidth="17400" windowHeight="10050"/>
  </bookViews>
  <sheets>
    <sheet name="MAA BLL" sheetId="1" r:id="rId1"/>
  </sheets>
  <definedNames>
    <definedName name="_xlnm.Print_Titles" localSheetId="0">'MAA BLL'!$1:$1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79" i="1" l="1"/>
  <c r="A277" i="1"/>
  <c r="A264" i="1"/>
  <c r="A251" i="1"/>
  <c r="A252" i="1"/>
  <c r="A253" i="1"/>
  <c r="A197" i="1"/>
  <c r="A135" i="1"/>
  <c r="A103" i="1"/>
  <c r="A79" i="1"/>
  <c r="A72" i="1"/>
  <c r="A73" i="1"/>
  <c r="A60" i="1"/>
  <c r="A51" i="1"/>
  <c r="A32" i="1"/>
  <c r="A28" i="1"/>
  <c r="A16" i="1"/>
  <c r="A281" i="1" l="1"/>
  <c r="A263" i="1"/>
  <c r="A265" i="1"/>
  <c r="A242" i="1"/>
  <c r="A237" i="1"/>
  <c r="A236" i="1"/>
  <c r="A66" i="1"/>
  <c r="A64" i="1"/>
  <c r="A229" i="1"/>
  <c r="A220" i="1"/>
  <c r="A199" i="1"/>
  <c r="A195" i="1"/>
  <c r="A180" i="1"/>
  <c r="A181" i="1"/>
  <c r="A173" i="1"/>
  <c r="A156" i="1"/>
  <c r="A133" i="1"/>
  <c r="A129" i="1"/>
  <c r="A125" i="1"/>
  <c r="A120" i="1"/>
  <c r="A115" i="1"/>
  <c r="A106" i="1"/>
  <c r="A93" i="1"/>
  <c r="A76" i="1"/>
  <c r="A77" i="1"/>
  <c r="A71" i="1"/>
  <c r="A58" i="1"/>
  <c r="A59" i="1"/>
  <c r="A56" i="1"/>
  <c r="A46" i="1"/>
  <c r="A41" i="1"/>
  <c r="A39" i="1"/>
  <c r="A27" i="1"/>
  <c r="A19" i="1"/>
  <c r="A3" i="1"/>
  <c r="A4" i="1"/>
  <c r="A20" i="1"/>
  <c r="A160" i="1"/>
  <c r="A162" i="1"/>
  <c r="A163" i="1"/>
  <c r="A78" i="1" l="1"/>
  <c r="A80" i="1"/>
  <c r="A117" i="1"/>
  <c r="A116" i="1"/>
  <c r="A114" i="1"/>
  <c r="A222" i="1"/>
  <c r="A245" i="1"/>
  <c r="A285" i="1"/>
  <c r="A284" i="1"/>
  <c r="A283" i="1"/>
  <c r="A282" i="1"/>
  <c r="A280" i="1"/>
  <c r="A278" i="1"/>
  <c r="A276" i="1"/>
  <c r="A275" i="1"/>
  <c r="A274" i="1"/>
  <c r="A273" i="1"/>
  <c r="A272" i="1"/>
  <c r="A271" i="1"/>
  <c r="A270" i="1"/>
  <c r="A269" i="1"/>
  <c r="A268" i="1"/>
  <c r="A267" i="1"/>
  <c r="A266" i="1"/>
  <c r="A262" i="1"/>
  <c r="A261" i="1"/>
  <c r="A260" i="1"/>
  <c r="A259" i="1"/>
  <c r="A258" i="1"/>
  <c r="A257" i="1"/>
  <c r="A256" i="1"/>
  <c r="A255" i="1"/>
  <c r="A254" i="1"/>
  <c r="A250" i="1"/>
  <c r="A249" i="1"/>
  <c r="A248" i="1"/>
  <c r="A247" i="1"/>
  <c r="A246" i="1"/>
  <c r="A244" i="1"/>
  <c r="A243" i="1"/>
  <c r="A241" i="1"/>
  <c r="A240" i="1"/>
  <c r="A239" i="1"/>
  <c r="A238" i="1"/>
  <c r="A235" i="1"/>
  <c r="A234" i="1"/>
  <c r="A233" i="1"/>
  <c r="A232" i="1"/>
  <c r="A231" i="1"/>
  <c r="A230" i="1"/>
  <c r="A228" i="1"/>
  <c r="A227" i="1"/>
  <c r="A226" i="1"/>
  <c r="A225" i="1"/>
  <c r="A224" i="1"/>
  <c r="A223" i="1"/>
  <c r="A221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8" i="1"/>
  <c r="A196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79" i="1"/>
  <c r="A178" i="1"/>
  <c r="A177" i="1"/>
  <c r="A176" i="1"/>
  <c r="A175" i="1"/>
  <c r="A174" i="1"/>
  <c r="A172" i="1"/>
  <c r="A171" i="1"/>
  <c r="A170" i="1"/>
  <c r="A169" i="1"/>
  <c r="A168" i="1"/>
  <c r="A167" i="1"/>
  <c r="A166" i="1"/>
  <c r="A165" i="1"/>
  <c r="A164" i="1"/>
  <c r="A161" i="1"/>
  <c r="A159" i="1"/>
  <c r="A158" i="1"/>
  <c r="A157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4" i="1"/>
  <c r="A132" i="1"/>
  <c r="A131" i="1"/>
  <c r="A130" i="1"/>
  <c r="A128" i="1"/>
  <c r="A127" i="1"/>
  <c r="A126" i="1"/>
  <c r="A124" i="1"/>
  <c r="A123" i="1"/>
  <c r="A122" i="1"/>
  <c r="A121" i="1"/>
  <c r="A119" i="1"/>
  <c r="A118" i="1"/>
  <c r="A113" i="1"/>
  <c r="A112" i="1"/>
  <c r="A111" i="1"/>
  <c r="A110" i="1"/>
  <c r="A109" i="1"/>
  <c r="A108" i="1"/>
  <c r="A107" i="1"/>
  <c r="A105" i="1"/>
  <c r="A104" i="1"/>
  <c r="A102" i="1"/>
  <c r="A101" i="1"/>
  <c r="A100" i="1"/>
  <c r="A99" i="1"/>
  <c r="A98" i="1"/>
  <c r="A97" i="1"/>
  <c r="A96" i="1"/>
  <c r="A95" i="1"/>
  <c r="A94" i="1"/>
  <c r="A92" i="1"/>
  <c r="A91" i="1"/>
  <c r="A90" i="1"/>
  <c r="A89" i="1"/>
  <c r="A88" i="1"/>
  <c r="A87" i="1"/>
  <c r="A86" i="1"/>
  <c r="A85" i="1"/>
  <c r="A84" i="1"/>
  <c r="A83" i="1"/>
  <c r="A82" i="1"/>
  <c r="A81" i="1"/>
  <c r="A75" i="1"/>
  <c r="A74" i="1"/>
  <c r="A70" i="1"/>
  <c r="A69" i="1"/>
  <c r="A68" i="1"/>
  <c r="A67" i="1"/>
  <c r="A65" i="1"/>
  <c r="A63" i="1"/>
  <c r="A62" i="1"/>
  <c r="A61" i="1"/>
  <c r="A57" i="1"/>
  <c r="A55" i="1"/>
  <c r="A54" i="1"/>
  <c r="A53" i="1"/>
  <c r="A52" i="1"/>
  <c r="A50" i="1"/>
  <c r="A49" i="1"/>
  <c r="A48" i="1"/>
  <c r="A47" i="1"/>
  <c r="A45" i="1"/>
  <c r="A44" i="1"/>
  <c r="A43" i="1"/>
  <c r="A42" i="1"/>
  <c r="A40" i="1"/>
  <c r="A38" i="1"/>
  <c r="A37" i="1"/>
  <c r="A36" i="1"/>
  <c r="A35" i="1"/>
  <c r="A34" i="1"/>
  <c r="A33" i="1"/>
  <c r="A31" i="1"/>
  <c r="A30" i="1"/>
  <c r="A29" i="1"/>
  <c r="A26" i="1"/>
  <c r="A25" i="1"/>
  <c r="A24" i="1"/>
  <c r="A23" i="1"/>
  <c r="A22" i="1"/>
  <c r="A21" i="1"/>
  <c r="A18" i="1"/>
  <c r="A17" i="1"/>
  <c r="A15" i="1"/>
  <c r="A14" i="1"/>
  <c r="A13" i="1"/>
  <c r="A12" i="1"/>
  <c r="A11" i="1"/>
  <c r="A10" i="1"/>
  <c r="A9" i="1"/>
  <c r="A8" i="1"/>
  <c r="A7" i="1"/>
  <c r="A6" i="1"/>
  <c r="A5" i="1" l="1"/>
  <c r="A2" i="1"/>
</calcChain>
</file>

<file path=xl/sharedStrings.xml><?xml version="1.0" encoding="utf-8"?>
<sst xmlns="http://schemas.openxmlformats.org/spreadsheetml/2006/main" count="915" uniqueCount="428">
  <si>
    <t>Peter M. Higgins</t>
  </si>
  <si>
    <t>Shing-Tung Yau and Steve Nadis</t>
  </si>
  <si>
    <t>Basic Books</t>
  </si>
  <si>
    <t>William J. Cook</t>
  </si>
  <si>
    <t>John MacCormick</t>
  </si>
  <si>
    <t>Amy N. Langville and Carl D. Meyer</t>
  </si>
  <si>
    <t>Alain Goriely</t>
  </si>
  <si>
    <t>Harcourt Brace Jonanovich Publishers</t>
  </si>
  <si>
    <t>Ian Stewart</t>
  </si>
  <si>
    <t>Benjamin H. Yandell</t>
  </si>
  <si>
    <t>A K Peters</t>
  </si>
  <si>
    <t>Ken Ono and Amir D. Aczel</t>
  </si>
  <si>
    <t>Springer</t>
  </si>
  <si>
    <t xml:space="preserve">Owl Books </t>
  </si>
  <si>
    <t>Edward Frenkel</t>
  </si>
  <si>
    <t>David E. Rowe and Mechtild Koreuber</t>
  </si>
  <si>
    <t>Paul Hoffman</t>
  </si>
  <si>
    <t>Hyperion</t>
  </si>
  <si>
    <t>Ivar Ekeland</t>
  </si>
  <si>
    <t>Edwin A. Abbott, William F. Lindgren, and Thomas F. Banchoff</t>
  </si>
  <si>
    <t>Martin Gardner</t>
  </si>
  <si>
    <t>Donald E. Knuth</t>
  </si>
  <si>
    <t>Birkhรคuser</t>
  </si>
  <si>
    <t>David Wells</t>
  </si>
  <si>
    <t>Liz McMahon, Gary Gordon, Hannah Gordon and Rebecca Gordon</t>
  </si>
  <si>
    <t>Elwyn R. Berlekamp, John Horton Conway, and Richard K. Guy</t>
  </si>
  <si>
    <t>Jason Rosenhouse and Laura Taalman</t>
  </si>
  <si>
    <t>Christopher G. Brinton and Mung Chiang</t>
  </si>
  <si>
    <t>Craig P. Bauer</t>
  </si>
  <si>
    <t>Liza Mundy</t>
  </si>
  <si>
    <t>Hachette Books</t>
  </si>
  <si>
    <t>Cathy O'Neil</t>
  </si>
  <si>
    <t>Crown</t>
  </si>
  <si>
    <t>Paul J. Nahin</t>
  </si>
  <si>
    <t>Sanjoy Mahajan</t>
  </si>
  <si>
    <t>MIT Press</t>
  </si>
  <si>
    <t>Rudy Rucker</t>
  </si>
  <si>
    <t>Alan Holden</t>
  </si>
  <si>
    <t>Addison-Wesley</t>
  </si>
  <si>
    <t>Kenneth Falconer</t>
  </si>
  <si>
    <t>Edward Packel</t>
  </si>
  <si>
    <t>K. O. Friedrichs</t>
  </si>
  <si>
    <t>Henry Segerman</t>
  </si>
  <si>
    <t>Thomas F. Banchoff</t>
  </si>
  <si>
    <t>Georg Glaeser</t>
  </si>
  <si>
    <t>David Hilbert and S. Cohn-Vossen</t>
  </si>
  <si>
    <t>Jin Akiyama and Kiyoko Matsunaga</t>
  </si>
  <si>
    <t>Benjamin Bold</t>
  </si>
  <si>
    <t>Rudolf Rucker</t>
  </si>
  <si>
    <t>Stewart Coffin</t>
  </si>
  <si>
    <t>Joe Rosen</t>
  </si>
  <si>
    <t>David Joyner</t>
  </si>
  <si>
    <t>Johns Hopkins</t>
  </si>
  <si>
    <t>Sharon Bertsch McGrayne</t>
  </si>
  <si>
    <t>Robert Kaplan and Ellen Kaplan</t>
  </si>
  <si>
    <t>Bloomsbury Press</t>
  </si>
  <si>
    <t>William Dunham</t>
  </si>
  <si>
    <t>Penguin Books</t>
  </si>
  <si>
    <t>E. Sondheimer and A. Rogerson</t>
  </si>
  <si>
    <t>Nancy Marie Brown</t>
  </si>
  <si>
    <t>Reviel Netz and William Noel</t>
  </si>
  <si>
    <t>Da Capo Press</t>
  </si>
  <si>
    <t>LeAnn Erickson</t>
  </si>
  <si>
    <t>Eli Maor</t>
  </si>
  <si>
    <t>David Perkins</t>
  </si>
  <si>
    <t>MAA Press</t>
  </si>
  <si>
    <t>Simon Singh</t>
  </si>
  <si>
    <t>Anchor Books</t>
  </si>
  <si>
    <t>Charles D. Miller, Vern E. Heeren, and E. John Hornsby, Jr.</t>
  </si>
  <si>
    <t>Addison Wesley</t>
  </si>
  <si>
    <t>Graham Priest</t>
  </si>
  <si>
    <t>Eugenia Cheng</t>
  </si>
  <si>
    <t>Raymond M. Smullyan</t>
  </si>
  <si>
    <t>Stephen Leon Lipscomb</t>
  </si>
  <si>
    <t>Farrar, Straus and Giroux</t>
  </si>
  <si>
    <t>Hans Kaper and Christiane Rousseau</t>
  </si>
  <si>
    <t>SIAM</t>
  </si>
  <si>
    <t>Ian Roulstone and John Norbury</t>
  </si>
  <si>
    <t>Roger Penrose</t>
  </si>
  <si>
    <t>George G. Szpiro</t>
  </si>
  <si>
    <t>G. H. Hardy</t>
  </si>
  <si>
    <t>Barry Cipra</t>
  </si>
  <si>
    <t>AMS/MAA Press</t>
  </si>
  <si>
    <t xml:space="preserve">Philip J. Davis and William G. Chinn </t>
  </si>
  <si>
    <t>Phillip Ording</t>
  </si>
  <si>
    <t xml:space="preserve">Bonnie Madison Stewart </t>
  </si>
  <si>
    <t>B M Stewart</t>
  </si>
  <si>
    <t>John Allen Paulos</t>
  </si>
  <si>
    <t>Vintage</t>
  </si>
  <si>
    <t xml:space="preserve">Gunter M. Ziegler </t>
  </si>
  <si>
    <t>Chapman &amp; Hall/CRC</t>
  </si>
  <si>
    <t>John Wiley</t>
  </si>
  <si>
    <t>David Foster Wallace</t>
  </si>
  <si>
    <t>W. W. Norton</t>
  </si>
  <si>
    <t>Heinrich Tietze</t>
  </si>
  <si>
    <t>Graylock Press</t>
  </si>
  <si>
    <t>Brian Hayes</t>
  </si>
  <si>
    <t>Barry Mazur</t>
  </si>
  <si>
    <t>Stephen Ornes</t>
  </si>
  <si>
    <t>Sterling</t>
  </si>
  <si>
    <t xml:space="preserve">T. Sundara Rao </t>
  </si>
  <si>
    <t>Francis Su</t>
  </si>
  <si>
    <t>Harold R. Jacobs</t>
  </si>
  <si>
    <t>W. H. Freeman</t>
  </si>
  <si>
    <t>Paul Lockhart</t>
  </si>
  <si>
    <t>Victor Cohn</t>
  </si>
  <si>
    <t>Tobias Dantzig</t>
  </si>
  <si>
    <t>Pi Press</t>
  </si>
  <si>
    <t>Matthew Lane</t>
  </si>
  <si>
    <t xml:space="preserve">Philip Morrison and Phylis Morrison </t>
  </si>
  <si>
    <t>W. W. Sawyer</t>
  </si>
  <si>
    <t>Shai Simonson</t>
  </si>
  <si>
    <t>Serge Lang</t>
  </si>
  <si>
    <t>Springer Verlag</t>
  </si>
  <si>
    <t>Mircea Pitici, ed.</t>
  </si>
  <si>
    <t>H. E. Huntley</t>
  </si>
  <si>
    <t xml:space="preserve">Philip J. Davis </t>
  </si>
  <si>
    <t xml:space="preserve">Ivars Peterson </t>
  </si>
  <si>
    <t>Owl Books</t>
  </si>
  <si>
    <t>Keith Devlin</t>
  </si>
  <si>
    <t xml:space="preserve">Basic Books </t>
  </si>
  <si>
    <t>Marcus Du Sautoy</t>
  </si>
  <si>
    <t>Macmillan</t>
  </si>
  <si>
    <t xml:space="preserve">A.K. Dewdney </t>
  </si>
  <si>
    <t xml:space="preserve">Ian Stewart </t>
  </si>
  <si>
    <t>Dana Mackenzie</t>
  </si>
  <si>
    <t>Dana Mackenzie and Barry Cipra</t>
  </si>
  <si>
    <t>AMS</t>
  </si>
  <si>
    <t>Amir Alexander</t>
  </si>
  <si>
    <t>Vicky Neale</t>
  </si>
  <si>
    <t>Barry Mazur and William Stein</t>
  </si>
  <si>
    <t>Albert Beiler</t>
  </si>
  <si>
    <t>Julian Havil</t>
  </si>
  <si>
    <t>Philip J. Davis</t>
  </si>
  <si>
    <t>John Stillwell</t>
  </si>
  <si>
    <t>Ross Honsberger</t>
  </si>
  <si>
    <t>Henry E. Dudeney</t>
  </si>
  <si>
    <t>Stephen Barr</t>
  </si>
  <si>
    <t>James Tanton</t>
  </si>
  <si>
    <t>Boris A. Kordemsky</t>
  </si>
  <si>
    <t>David L. Silverman</t>
  </si>
  <si>
    <t>E. A. Maxwell</t>
  </si>
  <si>
    <t>Alexander H. Frey and David Singmaster</t>
  </si>
  <si>
    <t>Lutterworth Press</t>
  </si>
  <si>
    <t>Ryan B. Hayward and Bjarne Toft</t>
  </si>
  <si>
    <t>CRC Press</t>
  </si>
  <si>
    <t>William S. Andrews</t>
  </si>
  <si>
    <t xml:space="preserve">Cosimo </t>
  </si>
  <si>
    <t>Persi Diaconis and Ron Graham</t>
  </si>
  <si>
    <t>Solomon W. Golomb</t>
  </si>
  <si>
    <t>Bonnie Averbach and Orin Chein</t>
  </si>
  <si>
    <t>Ronald C. Read</t>
  </si>
  <si>
    <t>Norbert Herrmann</t>
  </si>
  <si>
    <t>Paul R. Rosenbaum</t>
  </si>
  <si>
    <t>David S. Salsburg</t>
  </si>
  <si>
    <t>W. Allen Wallis and Harry V. Roberts</t>
  </si>
  <si>
    <t>Nate Silver</t>
  </si>
  <si>
    <t>Alfred North Whitehead</t>
  </si>
  <si>
    <t>James Gleick</t>
  </si>
  <si>
    <t>Jay Kappraff</t>
  </si>
  <si>
    <t>World Scientifc</t>
  </si>
  <si>
    <t>F. Le Lionnais</t>
  </si>
  <si>
    <t>Hill and Wang</t>
  </si>
  <si>
    <t>Hugo Steinhaus</t>
  </si>
  <si>
    <t>Morris Kline</t>
  </si>
  <si>
    <t>Eric T. Bell</t>
  </si>
  <si>
    <t>Hans Rademacher and Otto Toeplitz</t>
  </si>
  <si>
    <t>Philip J. Davis and Reuben Hersh</t>
  </si>
  <si>
    <t>Mariner Books</t>
  </si>
  <si>
    <t>James R. Newman</t>
  </si>
  <si>
    <t>Richard Courant, Herbert Robbins, and Ian Stewart</t>
  </si>
  <si>
    <t>Lance Fortnow</t>
  </si>
  <si>
    <t>Irving Adler</t>
  </si>
  <si>
    <t>John Horton Conway and Richard K. Guy</t>
  </si>
  <si>
    <t>Copernicus Books (Springer)</t>
  </si>
  <si>
    <t>Ernest Nagel, James Newman, and Douglas R. Hofstadter</t>
  </si>
  <si>
    <t>Warren Weaver</t>
  </si>
  <si>
    <t>C. Alsina and R. B. Nelsen</t>
  </si>
  <si>
    <t xml:space="preserve">Sam Loyd </t>
  </si>
  <si>
    <t>Ishi Press</t>
  </si>
  <si>
    <t xml:space="preserve">David A. Klarner </t>
  </si>
  <si>
    <t>Maurice Kraitchik</t>
  </si>
  <si>
    <t>W.W. Rouse Ball and H.S.M. Coxeter</t>
  </si>
  <si>
    <t xml:space="preserve">T. H. O'Beirne </t>
  </si>
  <si>
    <t xml:space="preserve">John D. Beasley </t>
  </si>
  <si>
    <t>Lewis Carroll</t>
  </si>
  <si>
    <t>Elwyn R. Berlekamp, John Horton Conway and Richard K. Guy</t>
  </si>
  <si>
    <t xml:space="preserve">Harry Lindgren </t>
  </si>
  <si>
    <t>Van Nostrand Reinhold</t>
  </si>
  <si>
    <t>Arbelos</t>
  </si>
  <si>
    <t>Knopf</t>
  </si>
  <si>
    <t>Doris Schattschneider and Wallace Walker</t>
  </si>
  <si>
    <t>Tarquin</t>
  </si>
  <si>
    <t xml:space="preserve">Eugene Purdy Northrop  </t>
  </si>
  <si>
    <t>Edward Hordern</t>
  </si>
  <si>
    <t>Douglas R. Hofstadter</t>
  </si>
  <si>
    <t>Nigel Calder</t>
  </si>
  <si>
    <t xml:space="preserve">Gramercy </t>
  </si>
  <si>
    <t>Scientific American Library</t>
  </si>
  <si>
    <t>Loren Graham and Jean-Michel Kantor</t>
  </si>
  <si>
    <t>Belknap Press</t>
  </si>
  <si>
    <t xml:space="preserve">Lynn Arthur Steen </t>
  </si>
  <si>
    <t>George Boehm</t>
  </si>
  <si>
    <t>Author</t>
  </si>
  <si>
    <t>Publisher</t>
  </si>
  <si>
    <t>Rating</t>
  </si>
  <si>
    <t>Topics</t>
  </si>
  <si>
    <t>Oxford Univ Press</t>
  </si>
  <si>
    <t>Princeton Univ Press</t>
  </si>
  <si>
    <t>Univ of Chicago Press</t>
  </si>
  <si>
    <t>Cambridge Univ Press</t>
  </si>
  <si>
    <t>Johns Hopkins Univ Press</t>
  </si>
  <si>
    <t>Yale Univ Press</t>
  </si>
  <si>
    <t>Univ of Pittsburgh Press</t>
  </si>
  <si>
    <t>Harvard Univ Press</t>
  </si>
  <si>
    <t>Iowa State Univ Press</t>
  </si>
  <si>
    <t xml:space="preserve">Oxford Univ Press </t>
  </si>
  <si>
    <t>Osford Univ Press</t>
  </si>
  <si>
    <t>Univ Of Chicago Press</t>
  </si>
  <si>
    <t>New York Univ Press</t>
  </si>
  <si>
    <t>ENS Editions</t>
  </si>
  <si>
    <t>**</t>
  </si>
  <si>
    <t>*</t>
  </si>
  <si>
    <t>***</t>
  </si>
  <si>
    <t>Algorithms | Combinatorics | Group Theory | Theory of Computation</t>
  </si>
  <si>
    <t>Algorithms | Social Choice Theory</t>
  </si>
  <si>
    <t>Computer Science | Networks</t>
  </si>
  <si>
    <t>Euclidean Geometry | Polyhedra | Symmetry</t>
  </si>
  <si>
    <t>Game Theory | Probability Theory</t>
  </si>
  <si>
    <t>Geometry | Polyhedra | Polytopes</t>
  </si>
  <si>
    <t>Geometry | Problems</t>
  </si>
  <si>
    <t>Geometry | Relativity Theory</t>
  </si>
  <si>
    <t>Group Theory | Lie Groups | Symmetry</t>
  </si>
  <si>
    <t>Group Theory | Symmetry</t>
  </si>
  <si>
    <t>Logic | Puzzles</t>
  </si>
  <si>
    <t>Logic | Set Theory</t>
  </si>
  <si>
    <t>Non-Euclidean Geometry | Geometry | Euclidean Geometry</t>
  </si>
  <si>
    <t>Recursion | Logic</t>
  </si>
  <si>
    <t>Cambridge Univ Press and MAA</t>
  </si>
  <si>
    <t>Cambridge Univ Press/MAA</t>
  </si>
  <si>
    <t>MAA</t>
  </si>
  <si>
    <t xml:space="preserve">MAA </t>
  </si>
  <si>
    <t>Dover</t>
  </si>
  <si>
    <t>AMS/Chelsea</t>
  </si>
  <si>
    <t>Biography | History | Number Theory</t>
  </si>
  <si>
    <t>History | Number Theory</t>
  </si>
  <si>
    <t>History | Trigonometry</t>
  </si>
  <si>
    <t>Set Theory | Logic | History</t>
  </si>
  <si>
    <t>Applied | Surveys</t>
  </si>
  <si>
    <t>Biography | Singularities | Surveys</t>
  </si>
  <si>
    <t>Combinatorial Games | Combinatorics | Recreational</t>
  </si>
  <si>
    <t>Combinatorial Games | Recreational</t>
  </si>
  <si>
    <t>Combinatorial Geometry | Euclidean Geometry | Graph Theory | Recreational</t>
  </si>
  <si>
    <t>Combinatorics | Recreational</t>
  </si>
  <si>
    <t>Geometry | Recreational</t>
  </si>
  <si>
    <t>Group Theory | Puzzles | Recreational</t>
  </si>
  <si>
    <t>Proofs and Logic | Recreational | Surveys</t>
  </si>
  <si>
    <t>Puzzles | Recreational</t>
  </si>
  <si>
    <t>Recreational</t>
  </si>
  <si>
    <t>Recreational | Combinatorial Games</t>
  </si>
  <si>
    <t>Recreational | Combinatorial Geometry</t>
  </si>
  <si>
    <t>Recreational | Euclidean Geometry</t>
  </si>
  <si>
    <t>Recreational | Puzzles</t>
  </si>
  <si>
    <t>History of Science | Science</t>
  </si>
  <si>
    <t>Science</t>
  </si>
  <si>
    <t>Abstract Algebra | Classical Algebra</t>
  </si>
  <si>
    <t>Algebraic Geometry | Complex Manifolds | Physics | String Theory</t>
  </si>
  <si>
    <t>Algorithms | Computer Science</t>
  </si>
  <si>
    <t>Applied</t>
  </si>
  <si>
    <t>Biography | History | Math as a Profession</t>
  </si>
  <si>
    <t>Biography | History</t>
  </si>
  <si>
    <t>Biography | History of Statistics</t>
  </si>
  <si>
    <t>Biography</t>
  </si>
  <si>
    <t>Calculus of Variations | Physics | Optimization</t>
  </si>
  <si>
    <t>Combinatorial Games</t>
  </si>
  <si>
    <t>Combinatorics | Elementary Number Theory</t>
  </si>
  <si>
    <t>Cryptography | History</t>
  </si>
  <si>
    <t>Cryptography</t>
  </si>
  <si>
    <t>Data Analysis | Politics | Society | Statistics</t>
  </si>
  <si>
    <t>Differential Equations</t>
  </si>
  <si>
    <t>Estimation</t>
  </si>
  <si>
    <t>Euclidean Geometry</t>
  </si>
  <si>
    <t>Fiction and Poetry</t>
  </si>
  <si>
    <t>Fractals</t>
  </si>
  <si>
    <t>Geometry | History</t>
  </si>
  <si>
    <t>Geometry | Low-dimensional Topology | Programming | Software | Symmetry | Visualization</t>
  </si>
  <si>
    <t>Geometry</t>
  </si>
  <si>
    <t>History | History of Statistics</t>
  </si>
  <si>
    <t>History | Culture | Literature</t>
  </si>
  <si>
    <t>History | Math as a Profession</t>
  </si>
  <si>
    <t>History</t>
  </si>
  <si>
    <t>History | Philosophy</t>
  </si>
  <si>
    <t>Liberal Arts</t>
  </si>
  <si>
    <t>Logic</t>
  </si>
  <si>
    <t>Low-dimensional Topology</t>
  </si>
  <si>
    <t>Mathematical Careers | Psychology</t>
  </si>
  <si>
    <t>Mathematical Geology | Environmental Sciences</t>
  </si>
  <si>
    <t>Mathematical Geology</t>
  </si>
  <si>
    <t>Physics</t>
  </si>
  <si>
    <t>Social Science | Social Choice Theory</t>
  </si>
  <si>
    <t>Culture</t>
  </si>
  <si>
    <t>Math as a Profession | Social Science | Philosophy</t>
  </si>
  <si>
    <t>Scientists | Surveys</t>
  </si>
  <si>
    <t>Computer Science | Algorithms</t>
  </si>
  <si>
    <t>Culture | Applied</t>
  </si>
  <si>
    <t>Literature</t>
  </si>
  <si>
    <t>Number Theory</t>
  </si>
  <si>
    <t>Number Theory | Recreational</t>
  </si>
  <si>
    <t>Number Theory | Transcendence Theory</t>
  </si>
  <si>
    <t>Philosophy</t>
  </si>
  <si>
    <t>Philosophy | Surveys</t>
  </si>
  <si>
    <t>Problems | Problems Olympiad Level | Recreational</t>
  </si>
  <si>
    <t>Problems | Recreational</t>
  </si>
  <si>
    <t>Proofs and Logic | Recreational</t>
  </si>
  <si>
    <t>Statistical Inference | Statistics</t>
  </si>
  <si>
    <t>Statistics</t>
  </si>
  <si>
    <t>Statistics | Statistics and Public Policy</t>
  </si>
  <si>
    <t>Surveys</t>
  </si>
  <si>
    <t>Surveys | Teaching</t>
  </si>
  <si>
    <t>Theory of Computation</t>
  </si>
  <si>
    <t>Number Theory | Liberal Arts | Elementary Number Theory</t>
  </si>
  <si>
    <t>Philosophy | Logic</t>
  </si>
  <si>
    <t>Probability</t>
  </si>
  <si>
    <t>Set Theory | Philosophy | Logic | History</t>
  </si>
  <si>
    <t>Clifton Fadiman</t>
  </si>
  <si>
    <t>Étienne Ghys</t>
  </si>
  <si>
    <t>Øyvind Hammer</t>
  </si>
  <si>
    <t>Rózsa Péter</t>
  </si>
  <si>
    <t>Hans Rademacher</t>
  </si>
  <si>
    <t>Cédric Villani</t>
  </si>
  <si>
    <t>Berthold Vöcking et al.</t>
  </si>
  <si>
    <t xml:space="preserve">Arthur T. Winfree </t>
  </si>
  <si>
    <t>Robert Geretschläger</t>
  </si>
  <si>
    <t>Birkhäuser</t>
  </si>
  <si>
    <t>CSLI Pub.</t>
  </si>
  <si>
    <t>J. E. Littlewood, edited by Béla Bollobás</t>
  </si>
  <si>
    <t>LeAnn Erickson, PBS</t>
  </si>
  <si>
    <t>Martin Aigner and Ehrhard Behrends, eds.</t>
  </si>
  <si>
    <t>Donald J. Albers and Gerald L. Alexanderson, eds.</t>
  </si>
  <si>
    <t>Donald J. Albers, Gerald L. Alexanderson, and Constance Reid, eds.</t>
  </si>
  <si>
    <t>Jennifer Beineke and Jason Rosenhouse, eds.</t>
  </si>
  <si>
    <t>Erik D. Demaine, Martin L. Demaine, and Tom Rodgers, eds.</t>
  </si>
  <si>
    <t>Deanna Haunsperger and Robert Thompson, eds.</t>
  </si>
  <si>
    <t>Michael Henle and Brian Hopkins, eds.</t>
  </si>
  <si>
    <t>Dierk Schleicher and Malte Lackmann, eds.</t>
  </si>
  <si>
    <t>Nicholas J. Higham, ed.</t>
  </si>
  <si>
    <t>Benjamin Wardhaugh, ed.</t>
  </si>
  <si>
    <t>Judith Wechsler, ed.</t>
  </si>
  <si>
    <t>W.H. Freeman</t>
  </si>
  <si>
    <t>Alberto A. Martinez</t>
  </si>
  <si>
    <t xml:space="preserve">A. G. Howson and J. P. Kahane </t>
  </si>
  <si>
    <t>Kindle</t>
  </si>
  <si>
    <t>Title (and Link)</t>
  </si>
  <si>
    <t>Year</t>
  </si>
  <si>
    <t>H. Behnke, ed.</t>
  </si>
  <si>
    <t>Katy Borner</t>
  </si>
  <si>
    <t>Andreaas M. Hinz, Sandi Klavžar, Uroš Milutinović , and Ciril Petr</t>
  </si>
  <si>
    <t>Krieger Pub.</t>
  </si>
  <si>
    <r>
      <t xml:space="preserve">Classic | Recreational. Series: 1/15. Originally entitled: </t>
    </r>
    <r>
      <rPr>
        <i/>
        <sz val="11"/>
        <color theme="1"/>
        <rFont val="Tahoma"/>
        <family val="2"/>
        <scheme val="minor"/>
      </rPr>
      <t>The Scientific American Book of Mathematical Puzzles &amp; Diversions</t>
    </r>
    <r>
      <rPr>
        <sz val="11"/>
        <color theme="1"/>
        <rFont val="Tahoma"/>
        <family val="2"/>
        <scheme val="minor"/>
      </rPr>
      <t xml:space="preserve"> (1959).</t>
    </r>
  </si>
  <si>
    <r>
      <t xml:space="preserve">Classic | Recreational. Series: 2/15. Originally entitled: </t>
    </r>
    <r>
      <rPr>
        <i/>
        <sz val="11"/>
        <color theme="1"/>
        <rFont val="Tahoma"/>
        <family val="2"/>
        <scheme val="minor"/>
      </rPr>
      <t>The Second Scientific American Book of Mathematical Puzzles and Diversions</t>
    </r>
    <r>
      <rPr>
        <sz val="11"/>
        <color theme="1"/>
        <rFont val="Tahoma"/>
        <family val="2"/>
        <scheme val="minor"/>
      </rPr>
      <t xml:space="preserve"> (1961).</t>
    </r>
  </si>
  <si>
    <r>
      <t xml:space="preserve">Classic | Recreational. Series: 3/15. Originally entitled: </t>
    </r>
    <r>
      <rPr>
        <i/>
        <sz val="11"/>
        <color theme="1"/>
        <rFont val="Tahoma"/>
        <family val="2"/>
        <scheme val="minor"/>
      </rPr>
      <t>New Mathematical Diversions from Scientific American</t>
    </r>
    <r>
      <rPr>
        <sz val="11"/>
        <color theme="1"/>
        <rFont val="Tahoma"/>
        <family val="2"/>
        <scheme val="minor"/>
      </rPr>
      <t xml:space="preserve"> (1961).</t>
    </r>
  </si>
  <si>
    <r>
      <t xml:space="preserve">Recreational. Series: 4/15. Originally entitled: </t>
    </r>
    <r>
      <rPr>
        <i/>
        <sz val="11"/>
        <color theme="1"/>
        <rFont val="Tahoma"/>
        <family val="2"/>
        <scheme val="minor"/>
      </rPr>
      <t>The Unexpected Hanging and Other Mathematical Diversions</t>
    </r>
    <r>
      <rPr>
        <sz val="11"/>
        <color theme="1"/>
        <rFont val="Tahoma"/>
        <family val="2"/>
        <scheme val="minor"/>
      </rPr>
      <t xml:space="preserve"> (1969).</t>
    </r>
  </si>
  <si>
    <t>Recreational. Series 6/15.</t>
  </si>
  <si>
    <t>Recreational. Series 10/15.</t>
  </si>
  <si>
    <t>Recreational. Series 12/15.</t>
  </si>
  <si>
    <t>Recreational. Series 13/15.</t>
  </si>
  <si>
    <t>Recreational. Series 1-15/15.</t>
  </si>
  <si>
    <t>Classic | Fiction and Poetry | Geometry</t>
  </si>
  <si>
    <t>Classic</t>
  </si>
  <si>
    <t>David Acheson</t>
  </si>
  <si>
    <t>OUP</t>
  </si>
  <si>
    <t>ad</t>
  </si>
  <si>
    <t>St. Martin's Press</t>
  </si>
  <si>
    <t>Petr Beckmann</t>
  </si>
  <si>
    <t xml:space="preserve">Bloomsbury </t>
  </si>
  <si>
    <t xml:space="preserve">Alex Bellos </t>
  </si>
  <si>
    <t>Gregory Chaitin</t>
  </si>
  <si>
    <t>‎ Cambridge University Press</t>
  </si>
  <si>
    <t>Harcourt</t>
  </si>
  <si>
    <t>K.C. Cole</t>
  </si>
  <si>
    <t>Stanislas Dehaene</t>
  </si>
  <si>
    <t>Plume</t>
  </si>
  <si>
    <t>John Derbyshire</t>
  </si>
  <si>
    <t>Penguin</t>
  </si>
  <si>
    <t>Jordan Ellenberg</t>
  </si>
  <si>
    <t>W.W. Norton</t>
  </si>
  <si>
    <t>Rebecca Goldstein</t>
  </si>
  <si>
    <t>Running Press</t>
  </si>
  <si>
    <t>Stephen Hawking (Editor)</t>
  </si>
  <si>
    <t>Reuben Hersh</t>
  </si>
  <si>
    <t>John Hopkins Univ Press</t>
  </si>
  <si>
    <t>Bart K. Holland</t>
  </si>
  <si>
    <t>Darrell Huff</t>
  </si>
  <si>
    <t xml:space="preserve">Mario Livio </t>
  </si>
  <si>
    <t>Leonard Mlodinow</t>
  </si>
  <si>
    <t>Princeton Unv Press</t>
  </si>
  <si>
    <t>Matt Parker</t>
  </si>
  <si>
    <t xml:space="preserve">David S. Richeson </t>
  </si>
  <si>
    <t>‎ Farrar, Straus and Giroux</t>
  </si>
  <si>
    <t>Karl Sabbagh</t>
  </si>
  <si>
    <t>Harper Perennial</t>
  </si>
  <si>
    <t>Charles Seife</t>
  </si>
  <si>
    <t>Karl Sigmund</t>
  </si>
  <si>
    <t>Anchor</t>
  </si>
  <si>
    <t xml:space="preserve">Steven H. Strogatz </t>
  </si>
  <si>
    <t>Combinatorics | Famous Problems | Graph Theory | History</t>
  </si>
  <si>
    <t>Princeton University Press</t>
  </si>
  <si>
    <t>Robin J. Wilson</t>
  </si>
  <si>
    <t>Back Bay Books</t>
  </si>
  <si>
    <t>John D. Barrow</t>
  </si>
  <si>
    <t>ad; Probability | Statistics</t>
  </si>
  <si>
    <t>Deborah J. Bennett</t>
  </si>
  <si>
    <t>Walker Books</t>
  </si>
  <si>
    <t>David Blatner</t>
  </si>
  <si>
    <t>Hafner Pub.</t>
  </si>
  <si>
    <t>F. N. David</t>
  </si>
  <si>
    <t>Columbia Univ Press</t>
  </si>
  <si>
    <t>Portico</t>
  </si>
  <si>
    <t>Rob Eastaway, Jeremy Wyndham</t>
  </si>
  <si>
    <t xml:space="preserve">Rob Eastaway, Jeremy Wyndham </t>
  </si>
  <si>
    <t>Howard W. Eves</t>
  </si>
  <si>
    <t>Gardners Books</t>
  </si>
  <si>
    <t>Gerd Gigerenzer</t>
  </si>
  <si>
    <t>John Wiley &amp; Sons</t>
  </si>
  <si>
    <t>Georges Ifrah</t>
  </si>
  <si>
    <t>ad; Game theory, knots, chaos</t>
  </si>
  <si>
    <t>Dirk Jan Struik</t>
  </si>
  <si>
    <t>David Wells, John Sharp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</si>
</sst>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u/>
      <sz val="11"/>
      <color theme="10"/>
      <name val="Tahoma"/>
      <family val="2"/>
      <scheme val="minor"/>
    </font>
    <font>
      <b/>
      <sz val="11"/>
      <name val="Arial"/>
      <family val="2"/>
    </font>
    <font>
      <i/>
      <sz val="11"/>
      <color theme="1"/>
      <name val="Tahoma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0" fontId="19" fillId="33" borderId="10" xfId="0" applyFont="1" applyFill="1" applyBorder="1" applyAlignment="1">
      <alignment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left" vertical="center" wrapText="1" indent="1"/>
    </xf>
    <xf numFmtId="0" fontId="19" fillId="0" borderId="10" xfId="0" applyFont="1" applyBorder="1" applyAlignment="1">
      <alignment vertical="center" wrapText="1"/>
    </xf>
    <xf numFmtId="0" fontId="18" fillId="0" borderId="0" xfId="42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 indent="1"/>
    </xf>
    <xf numFmtId="0" fontId="18" fillId="0" borderId="0" xfId="42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5"/>
  <sheetViews>
    <sheetView tabSelected="1" zoomScaleNormal="100" workbookViewId="0">
      <selection activeCell="F2" sqref="F2"/>
    </sheetView>
  </sheetViews>
  <sheetFormatPr defaultColWidth="9" defaultRowHeight="24.6" customHeight="1" x14ac:dyDescent="0.2"/>
  <cols>
    <col min="1" max="1" width="50.5" style="6" customWidth="1"/>
    <col min="2" max="2" width="34.375" style="6" customWidth="1"/>
    <col min="3" max="3" width="19.125" style="6" customWidth="1"/>
    <col min="4" max="4" width="5.875" style="7" customWidth="1"/>
    <col min="5" max="5" width="9.5" style="8" customWidth="1"/>
    <col min="6" max="6" width="33.125" style="6" customWidth="1"/>
    <col min="7" max="16384" width="9" style="6"/>
  </cols>
  <sheetData>
    <row r="1" spans="1:6" s="4" customFormat="1" ht="24.6" customHeight="1" x14ac:dyDescent="0.2">
      <c r="A1" s="1" t="s">
        <v>352</v>
      </c>
      <c r="B1" s="1" t="s">
        <v>203</v>
      </c>
      <c r="C1" s="1" t="s">
        <v>204</v>
      </c>
      <c r="D1" s="2" t="s">
        <v>353</v>
      </c>
      <c r="E1" s="3" t="s">
        <v>205</v>
      </c>
      <c r="F1" s="1" t="s">
        <v>206</v>
      </c>
    </row>
    <row r="2" spans="1:6" ht="24.6" customHeight="1" x14ac:dyDescent="0.2">
      <c r="A2" s="5" t="str">
        <f>HYPERLINK("https://www.amazon.com/Flatland-Commentary-Spectrum-Edwin-Abbott/dp/0521759943", "Flatland: An Edition with Notes and Commentary")</f>
        <v>Flatland: An Edition with Notes and Commentary</v>
      </c>
      <c r="B2" s="6" t="s">
        <v>19</v>
      </c>
      <c r="C2" s="6" t="s">
        <v>238</v>
      </c>
      <c r="D2" s="7">
        <v>2009</v>
      </c>
      <c r="E2" s="8" t="s">
        <v>221</v>
      </c>
      <c r="F2" s="6" t="s">
        <v>367</v>
      </c>
    </row>
    <row r="3" spans="1:6" s="10" customFormat="1" ht="24.6" customHeight="1" x14ac:dyDescent="0.2">
      <c r="A3" s="9" t="str">
        <f>HYPERLINK("https://www.amazon.com/1089-All-That-Journey-Mathematics-dp-0199590028/dp/0199590028", "1089, and all that")</f>
        <v>1089, and all that</v>
      </c>
      <c r="B3" s="10" t="s">
        <v>369</v>
      </c>
      <c r="C3" s="10" t="s">
        <v>370</v>
      </c>
      <c r="D3" s="12">
        <v>1988</v>
      </c>
      <c r="E3" s="11"/>
      <c r="F3" s="10" t="s">
        <v>371</v>
      </c>
    </row>
    <row r="4" spans="1:6" ht="18" customHeight="1" x14ac:dyDescent="0.2">
      <c r="A4" s="5" t="str">
        <f>HYPERLINK("https://www.amazon.com/Look-Geometry-Dover-Books-Mathematics/dp/0486498514", "A New Look at Geometry")</f>
        <v>A New Look at Geometry</v>
      </c>
      <c r="B4" s="6" t="s">
        <v>172</v>
      </c>
      <c r="C4" s="6" t="s">
        <v>242</v>
      </c>
      <c r="D4" s="7">
        <v>2012</v>
      </c>
      <c r="F4" s="6" t="s">
        <v>236</v>
      </c>
    </row>
    <row r="5" spans="1:6" ht="24.6" customHeight="1" x14ac:dyDescent="0.2">
      <c r="A5" s="5" t="str">
        <f>HYPERLINK("https://www.amazon.com/Mathematics-Everywhere-Martin-Aigner/dp/0821843494", "Mathematics Everywhere")</f>
        <v>Mathematics Everywhere</v>
      </c>
      <c r="B5" s="6" t="s">
        <v>337</v>
      </c>
      <c r="C5" s="6" t="s">
        <v>127</v>
      </c>
      <c r="D5" s="7">
        <v>2010</v>
      </c>
      <c r="F5" s="6" t="s">
        <v>304</v>
      </c>
    </row>
    <row r="6" spans="1:6" ht="24.6" customHeight="1" x14ac:dyDescent="0.2">
      <c r="A6" s="5" t="str">
        <f>HYPERLINK("https://www.amazon.com/Treks-into-Intuitive-Geometry-Polyhedra/dp/4431558411", "Treks into Intuitive Geometry")</f>
        <v>Treks into Intuitive Geometry</v>
      </c>
      <c r="B6" s="6" t="s">
        <v>46</v>
      </c>
      <c r="C6" s="6" t="s">
        <v>12</v>
      </c>
      <c r="D6" s="7">
        <v>2016</v>
      </c>
      <c r="F6" s="6" t="s">
        <v>229</v>
      </c>
    </row>
    <row r="7" spans="1:6" ht="31.15" customHeight="1" x14ac:dyDescent="0.2">
      <c r="A7" s="5" t="str">
        <f>HYPERLINK("https://www.amazon.com/Mathematical-People-Interviews-Donald-Albers-ebook/dp/B00UVAVV4I", "Mathematical People: Profiles and Interviews")</f>
        <v>Mathematical People: Profiles and Interviews</v>
      </c>
      <c r="B7" s="6" t="s">
        <v>338</v>
      </c>
      <c r="C7" s="6" t="s">
        <v>10</v>
      </c>
      <c r="D7" s="7">
        <v>2008</v>
      </c>
      <c r="E7" s="8" t="s">
        <v>222</v>
      </c>
      <c r="F7" s="6" t="s">
        <v>272</v>
      </c>
    </row>
    <row r="8" spans="1:6" ht="40.15" customHeight="1" x14ac:dyDescent="0.2">
      <c r="A8" s="5" t="str">
        <f>HYPERLINK("https://www.amazon.com/Fascinating-Mathematical-People-Interviews-Memoirs-ebook/dp/B005AUSOU8", "Fascinating Mathematical People: Interviews and Memoirs")</f>
        <v>Fascinating Mathematical People: Interviews and Memoirs</v>
      </c>
      <c r="B8" s="6" t="s">
        <v>339</v>
      </c>
      <c r="C8" s="6" t="s">
        <v>7</v>
      </c>
      <c r="D8" s="7">
        <v>2011</v>
      </c>
      <c r="E8" s="8" t="s">
        <v>222</v>
      </c>
      <c r="F8" s="6" t="s">
        <v>269</v>
      </c>
    </row>
    <row r="9" spans="1:6" ht="30.6" customHeight="1" x14ac:dyDescent="0.2">
      <c r="A9" s="5" t="str">
        <f>HYPERLINK("https://www.amazon.com/Duel-Dawn-Mathematics-Histories-Technology/dp/0674046617", "Duel at Dawn: Heroes, Martyrs, and the Rise of Modern Mathematics")</f>
        <v>Duel at Dawn: Heroes, Martyrs, and the Rise of Modern Mathematics</v>
      </c>
      <c r="B9" s="6" t="s">
        <v>128</v>
      </c>
      <c r="C9" s="6" t="s">
        <v>214</v>
      </c>
      <c r="D9" s="7">
        <v>2010</v>
      </c>
      <c r="F9" s="6" t="s">
        <v>290</v>
      </c>
    </row>
    <row r="10" spans="1:6" ht="24.6" customHeight="1" x14ac:dyDescent="0.2">
      <c r="A10" s="5" t="str">
        <f>HYPERLINK("https://www.amazon.com/Charming-Proofs-Mathematics-Mathematical-Expositions/dp/0883853485", "Charming Proofs: A Journey into Elegant Mathematics")</f>
        <v>Charming Proofs: A Journey into Elegant Mathematics</v>
      </c>
      <c r="B10" s="6" t="s">
        <v>177</v>
      </c>
      <c r="C10" s="6" t="s">
        <v>240</v>
      </c>
      <c r="D10" s="7">
        <v>2010</v>
      </c>
      <c r="E10" s="8" t="s">
        <v>222</v>
      </c>
      <c r="F10" s="6" t="s">
        <v>256</v>
      </c>
    </row>
    <row r="11" spans="1:6" ht="24.6" customHeight="1" x14ac:dyDescent="0.2">
      <c r="A11" s="5" t="str">
        <f>HYPERLINK("https://www.amazon.com/Magic-Squares-Cubes-William-Andrews/dp/0486206580", "Magic Squares and Cubes")</f>
        <v>Magic Squares and Cubes</v>
      </c>
      <c r="B11" s="6" t="s">
        <v>146</v>
      </c>
      <c r="C11" s="6" t="s">
        <v>147</v>
      </c>
      <c r="D11" s="7">
        <v>2004</v>
      </c>
      <c r="E11" s="8" t="s">
        <v>222</v>
      </c>
      <c r="F11" s="6" t="s">
        <v>258</v>
      </c>
    </row>
    <row r="12" spans="1:6" ht="24.6" customHeight="1" x14ac:dyDescent="0.2">
      <c r="A12" s="5" t="str">
        <f>HYPERLINK("https://www.amazon.com/Problem-Solving-Through-Recreational-Mathematics/dp/0486409171", "Problem Solving Through Recreational")</f>
        <v>Problem Solving Through Recreational</v>
      </c>
      <c r="B12" s="6" t="s">
        <v>150</v>
      </c>
      <c r="C12" s="6" t="s">
        <v>242</v>
      </c>
      <c r="D12" s="7">
        <v>2000</v>
      </c>
      <c r="E12" s="8" t="s">
        <v>222</v>
      </c>
      <c r="F12" s="6" t="s">
        <v>258</v>
      </c>
    </row>
    <row r="13" spans="1:6" ht="24.6" customHeight="1" x14ac:dyDescent="0.2">
      <c r="A13" s="5" t="str">
        <f>HYPERLINK("https://www.amazon.com/Mathematical-Recreations-Essays-W-W-Rouse/dp/1537112082", "Mathematical Recreations and Essays")</f>
        <v>Mathematical Recreations and Essays</v>
      </c>
      <c r="B13" s="6" t="s">
        <v>182</v>
      </c>
      <c r="C13" s="6" t="s">
        <v>242</v>
      </c>
      <c r="D13" s="7">
        <v>1987</v>
      </c>
      <c r="E13" s="8" t="s">
        <v>222</v>
      </c>
      <c r="F13" s="6" t="s">
        <v>258</v>
      </c>
    </row>
    <row r="14" spans="1:6" ht="32.450000000000003" customHeight="1" x14ac:dyDescent="0.2">
      <c r="A14" s="5" t="str">
        <f>HYPERLINK("https://www.amazon.com/Beyond-Third-Dimension-Dimensions-Scientific/dp/0716750252", "Beyond the Third Dimension: Geometry, Computer Graphics, and Higher Dimensions ")</f>
        <v xml:space="preserve">Beyond the Third Dimension: Geometry, Computer Graphics, and Higher Dimensions </v>
      </c>
      <c r="B14" s="6" t="s">
        <v>43</v>
      </c>
      <c r="C14" s="6" t="s">
        <v>348</v>
      </c>
      <c r="D14" s="7">
        <v>1996</v>
      </c>
      <c r="E14" s="8" t="s">
        <v>223</v>
      </c>
      <c r="F14" s="6" t="s">
        <v>286</v>
      </c>
    </row>
    <row r="15" spans="1:6" ht="24.6" customHeight="1" x14ac:dyDescent="0.2">
      <c r="A15" s="5" t="str">
        <f>HYPERLINK("https://www.amazon.com/Mathematical-Brain-Benders-Dover-Recreational/dp/0486242609", "Mathematical Brain Benders")</f>
        <v>Mathematical Brain Benders</v>
      </c>
      <c r="B15" s="6" t="s">
        <v>137</v>
      </c>
      <c r="C15" s="6" t="s">
        <v>242</v>
      </c>
      <c r="D15" s="7">
        <v>1982</v>
      </c>
      <c r="F15" s="6" t="s">
        <v>312</v>
      </c>
    </row>
    <row r="16" spans="1:6" ht="24.6" customHeight="1" x14ac:dyDescent="0.2">
      <c r="A16" s="5" t="str">
        <f>HYPERLINK("https://www.amazon.com/PI-Sky-Counting-Thinking-Being/dp/0316082597", "Pi in the Sky: Counting, Thinking, and Being")</f>
        <v>Pi in the Sky: Counting, Thinking, and Being</v>
      </c>
      <c r="B16" s="6" t="s">
        <v>409</v>
      </c>
      <c r="C16" s="13" t="s">
        <v>408</v>
      </c>
      <c r="D16" s="7">
        <v>1992</v>
      </c>
      <c r="F16" s="6" t="s">
        <v>371</v>
      </c>
    </row>
    <row r="17" spans="1:6" ht="42" customHeight="1" x14ac:dyDescent="0.2">
      <c r="A17" s="5" t="str">
        <f>HYPERLINK("https://www.amazon.com/Unsolved-History-Mystery-Greatest-Societies/dp/0691167672", "Unsolved!: The History and Mystery of the World's Greatest Ciphers from Ancient Egypt to Online Secret Societies")</f>
        <v>Unsolved!: The History and Mystery of the World's Greatest Ciphers from Ancient Egypt to Online Secret Societies</v>
      </c>
      <c r="B17" s="6" t="s">
        <v>28</v>
      </c>
      <c r="C17" s="6" t="s">
        <v>208</v>
      </c>
      <c r="D17" s="7">
        <v>2017</v>
      </c>
      <c r="F17" s="6" t="s">
        <v>276</v>
      </c>
    </row>
    <row r="18" spans="1:6" ht="24.6" customHeight="1" x14ac:dyDescent="0.2">
      <c r="A18" s="5" t="str">
        <f>HYPERLINK("https://www.amazon.com/Ins-Outs-Solitaire-Recreations-Mathematics/dp/0198532032", "The Ins and Outs of Peg Solitaire")</f>
        <v>The Ins and Outs of Peg Solitaire</v>
      </c>
      <c r="B18" s="6" t="s">
        <v>184</v>
      </c>
      <c r="C18" s="6" t="s">
        <v>207</v>
      </c>
      <c r="D18" s="7">
        <v>1992</v>
      </c>
      <c r="E18" s="8" t="s">
        <v>222</v>
      </c>
      <c r="F18" s="6" t="s">
        <v>258</v>
      </c>
    </row>
    <row r="19" spans="1:6" s="10" customFormat="1" ht="24.6" customHeight="1" x14ac:dyDescent="0.2">
      <c r="A19" s="9" t="str">
        <f>HYPERLINK("https://www.amazon.com/History-Pi-Petr-Beckmann/dp/0312381859", "A History of pi")</f>
        <v>A History of pi</v>
      </c>
      <c r="B19" s="10" t="s">
        <v>373</v>
      </c>
      <c r="C19" s="10" t="s">
        <v>372</v>
      </c>
      <c r="D19" s="12">
        <v>1976</v>
      </c>
      <c r="E19" s="11"/>
      <c r="F19" s="10" t="s">
        <v>290</v>
      </c>
    </row>
    <row r="20" spans="1:6" ht="35.450000000000003" customHeight="1" x14ac:dyDescent="0.2">
      <c r="A20" s="9" t="str">
        <f>HYPERLINK("https://www.amazon.com/Fundamentals-Mathematics-Set-Foundation-Geometry/dp/B001TNWUPA", "Fundamentals of Mathematics: The Real Number System and Algebra, Vol. I")</f>
        <v>Fundamentals of Mathematics: The Real Number System and Algebra, Vol. I</v>
      </c>
      <c r="B20" s="6" t="s">
        <v>354</v>
      </c>
      <c r="C20" s="6" t="s">
        <v>35</v>
      </c>
      <c r="D20" s="7">
        <v>1974</v>
      </c>
      <c r="F20" s="6" t="s">
        <v>317</v>
      </c>
    </row>
    <row r="21" spans="1:6" ht="24.6" customHeight="1" x14ac:dyDescent="0.2">
      <c r="A21" s="5" t="str">
        <f>HYPERLINK("https://www.amazon.com/Fundamentals-Mathematics-Set-Foundation-Geometry/dp/B001TNWUPA", "Fundamentals of Mathematics: Geometry, Vol. II")</f>
        <v>Fundamentals of Mathematics: Geometry, Vol. II</v>
      </c>
      <c r="B21" s="6" t="s">
        <v>354</v>
      </c>
      <c r="C21" s="6" t="s">
        <v>35</v>
      </c>
      <c r="D21" s="7">
        <v>1974</v>
      </c>
      <c r="F21" s="6" t="s">
        <v>317</v>
      </c>
    </row>
    <row r="22" spans="1:6" ht="24.6" customHeight="1" x14ac:dyDescent="0.2">
      <c r="A22" s="5" t="str">
        <f>HYPERLINK("https://www.amazon.com/Recreations-Theory-Numbers-Dover-Recreational/dp/0486210960", "Recreations in the Theory of Numbers")</f>
        <v>Recreations in the Theory of Numbers</v>
      </c>
      <c r="B22" s="6" t="s">
        <v>131</v>
      </c>
      <c r="C22" s="6" t="s">
        <v>242</v>
      </c>
      <c r="D22" s="7">
        <v>1964</v>
      </c>
      <c r="F22" s="6" t="s">
        <v>307</v>
      </c>
    </row>
    <row r="23" spans="1:6" ht="27.75" customHeight="1" x14ac:dyDescent="0.2">
      <c r="A23" s="5" t="str">
        <f>HYPERLINK("https://www.amazon.com/Mathematics-Various-Entertaining-Subjects-Recreational/dp/0691164037", "The Mathematics of Various Entertaining Subjects")</f>
        <v>The Mathematics of Various Entertaining Subjects</v>
      </c>
      <c r="B23" s="6" t="s">
        <v>340</v>
      </c>
      <c r="C23" s="6" t="s">
        <v>208</v>
      </c>
      <c r="D23" s="7">
        <v>2016</v>
      </c>
      <c r="F23" s="6" t="s">
        <v>258</v>
      </c>
    </row>
    <row r="24" spans="1:6" ht="27.75" customHeight="1" x14ac:dyDescent="0.2">
      <c r="A24" s="5" t="str">
        <f>HYPERLINK("https://www.amazon.com/Mathematics-Various-Entertaining-Subjects-Complexity/dp/0691171920", "The Mathematics of Various Entertaining Subjects, Volume 2")</f>
        <v>The Mathematics of Various Entertaining Subjects, Volume 2</v>
      </c>
      <c r="B24" s="6" t="s">
        <v>340</v>
      </c>
      <c r="C24" s="6" t="s">
        <v>208</v>
      </c>
      <c r="D24" s="7">
        <v>2017</v>
      </c>
      <c r="F24" s="6" t="s">
        <v>252</v>
      </c>
    </row>
    <row r="25" spans="1:6" ht="27.75" customHeight="1" x14ac:dyDescent="0.2">
      <c r="A25" s="5" t="str">
        <f>HYPERLINK("https://www.amazon.com/Mathematics-Various-Entertaining-Subjects-Magic/dp/0691182574", "The Mathematics of Various Entertaining Subjects, Volume 3")</f>
        <v>The Mathematics of Various Entertaining Subjects, Volume 3</v>
      </c>
      <c r="B25" s="6" t="s">
        <v>340</v>
      </c>
      <c r="C25" s="6" t="s">
        <v>208</v>
      </c>
      <c r="D25" s="7">
        <v>2019</v>
      </c>
      <c r="F25" s="6" t="s">
        <v>258</v>
      </c>
    </row>
    <row r="26" spans="1:6" ht="24.6" customHeight="1" x14ac:dyDescent="0.2">
      <c r="A26" s="5" t="str">
        <f>HYPERLINK("https://www.amazon.com/Mathematics-Queen-Servant-Science-Tempus/dp/155615173X", "Mathematics: Queen and Servant of Science")</f>
        <v>Mathematics: Queen and Servant of Science</v>
      </c>
      <c r="B26" s="6" t="s">
        <v>165</v>
      </c>
      <c r="C26" s="6" t="s">
        <v>240</v>
      </c>
      <c r="D26" s="7">
        <v>1996</v>
      </c>
      <c r="F26" s="6" t="s">
        <v>317</v>
      </c>
    </row>
    <row r="27" spans="1:6" s="10" customFormat="1" ht="24.6" customHeight="1" x14ac:dyDescent="0.2">
      <c r="A27" s="9" t="str">
        <f>HYPERLINK("https://www.amazon.com/Alexs-Adventures-In-Numberland/dp/1526623994", "Alex's Adventures in Numberland")</f>
        <v>Alex's Adventures in Numberland</v>
      </c>
      <c r="B27" s="10" t="s">
        <v>375</v>
      </c>
      <c r="C27" s="10" t="s">
        <v>374</v>
      </c>
      <c r="D27" s="12">
        <v>2020</v>
      </c>
      <c r="E27" s="11"/>
      <c r="F27" s="10" t="s">
        <v>371</v>
      </c>
    </row>
    <row r="28" spans="1:6" ht="24.6" customHeight="1" x14ac:dyDescent="0.2">
      <c r="A28" s="5" t="str">
        <f>HYPERLINK("https://www.amazon.com/Randomness-Deborah-J-Bennett/dp/0674107462", "Randomness")</f>
        <v>Randomness</v>
      </c>
      <c r="B28" s="6" t="s">
        <v>411</v>
      </c>
      <c r="C28" s="13" t="s">
        <v>214</v>
      </c>
      <c r="D28" s="12">
        <v>1999</v>
      </c>
      <c r="F28" s="6" t="s">
        <v>410</v>
      </c>
    </row>
    <row r="29" spans="1:6" ht="28.5" customHeight="1" x14ac:dyDescent="0.2">
      <c r="A29" s="5" t="str">
        <f>HYPERLINK("https://www.amazon.com/Winning-Ways-Your-Mathematical-Plays/dp/1568811306", "Winning Ways for Your Mathematical Plays, volume 1")</f>
        <v>Winning Ways for Your Mathematical Plays, volume 1</v>
      </c>
      <c r="B29" s="6" t="s">
        <v>25</v>
      </c>
      <c r="C29" s="6" t="s">
        <v>10</v>
      </c>
      <c r="D29" s="7">
        <v>2001</v>
      </c>
      <c r="E29" s="8" t="s">
        <v>223</v>
      </c>
      <c r="F29" s="6" t="s">
        <v>251</v>
      </c>
    </row>
    <row r="30" spans="1:6" ht="28.5" customHeight="1" x14ac:dyDescent="0.2">
      <c r="A30" s="5" t="str">
        <f>HYPERLINK("https://www.amazon.com/Winning-Mathematical-Plays-Berlekamp-2003-01-03/dp/B01K0RM70I", "Winning Ways for Your Mathematical Plays, volume 2")</f>
        <v>Winning Ways for Your Mathematical Plays, volume 2</v>
      </c>
      <c r="B30" s="6" t="s">
        <v>186</v>
      </c>
      <c r="C30" s="6" t="s">
        <v>10</v>
      </c>
      <c r="D30" s="7">
        <v>2003</v>
      </c>
      <c r="E30" s="8" t="s">
        <v>223</v>
      </c>
      <c r="F30" s="6" t="s">
        <v>259</v>
      </c>
    </row>
    <row r="31" spans="1:6" ht="28.5" customHeight="1" x14ac:dyDescent="0.2">
      <c r="A31" s="5" t="str">
        <f>HYPERLINK("https://www.amazon.com/Winning-Ways-Your-Mathematical-Plays-ebook/dp/B07CYWQ2ZR", "Winning Ways for Your Mathematical Plays, volume 3")</f>
        <v>Winning Ways for Your Mathematical Plays, volume 3</v>
      </c>
      <c r="B31" s="6" t="s">
        <v>186</v>
      </c>
      <c r="C31" s="6" t="s">
        <v>10</v>
      </c>
      <c r="D31" s="7">
        <v>2003</v>
      </c>
      <c r="E31" s="8" t="s">
        <v>223</v>
      </c>
      <c r="F31" s="6" t="s">
        <v>259</v>
      </c>
    </row>
    <row r="32" spans="1:6" ht="28.5" customHeight="1" x14ac:dyDescent="0.2">
      <c r="A32" s="5" t="str">
        <f>HYPERLINK("https://www.amazon.com/Joy-Pi-David-Blatner/dp/0802775624", "The Joy of Pi")</f>
        <v>The Joy of Pi</v>
      </c>
      <c r="B32" s="6" t="s">
        <v>413</v>
      </c>
      <c r="C32" s="13" t="s">
        <v>412</v>
      </c>
      <c r="D32" s="12">
        <v>1999</v>
      </c>
      <c r="F32" s="6" t="s">
        <v>371</v>
      </c>
    </row>
    <row r="33" spans="1:6" ht="24.6" customHeight="1" x14ac:dyDescent="0.2">
      <c r="A33" s="5" t="str">
        <f>HYPERLINK("https://www.amazon.com/Famous-Problems-Geometry-Solve-Mathematics-ebook/dp/B00CB2MKD0", "Famous Problems of Geometry and How To Solve Them")</f>
        <v>Famous Problems of Geometry and How To Solve Them</v>
      </c>
      <c r="B33" s="6" t="s">
        <v>47</v>
      </c>
      <c r="C33" s="6" t="s">
        <v>242</v>
      </c>
      <c r="D33" s="7">
        <v>1982</v>
      </c>
      <c r="F33" s="6" t="s">
        <v>230</v>
      </c>
    </row>
    <row r="34" spans="1:6" ht="24.6" customHeight="1" x14ac:dyDescent="0.2">
      <c r="A34" s="5" t="str">
        <f>HYPERLINK("https://www.amazon.com/Atlas-Science-Visualizing-What-Press/dp/0262014459", "Atlas of Science: Visualizing What We Know")</f>
        <v>Atlas of Science: Visualizing What We Know</v>
      </c>
      <c r="B34" s="6" t="s">
        <v>355</v>
      </c>
      <c r="C34" s="6" t="s">
        <v>35</v>
      </c>
      <c r="D34" s="7">
        <v>2010</v>
      </c>
      <c r="F34" s="6" t="s">
        <v>263</v>
      </c>
    </row>
    <row r="35" spans="1:6" ht="24.6" customHeight="1" x14ac:dyDescent="0.2">
      <c r="A35" s="5" t="str">
        <f>HYPERLINK("https://www.amazon.com/Power-Networks-Principles-Connect-Lives/dp/0691183309", "The Power of Networks: Six Principles that Connect Our Lives")</f>
        <v>The Power of Networks: Six Principles that Connect Our Lives</v>
      </c>
      <c r="B35" s="6" t="s">
        <v>27</v>
      </c>
      <c r="C35" s="6" t="s">
        <v>208</v>
      </c>
      <c r="D35" s="7">
        <v>2016</v>
      </c>
      <c r="F35" s="6" t="s">
        <v>226</v>
      </c>
    </row>
    <row r="36" spans="1:6" ht="30.6" customHeight="1" x14ac:dyDescent="0.2">
      <c r="A36" s="5" t="str">
        <f>HYPERLINK("https://www.amazon.com/Abacus-Cross-Story-Brought-Science/dp/0465009506", "The Abacus and the Cross: The Story of the Pope Who Brought the Light of Science to the Dark Ages")</f>
        <v>The Abacus and the Cross: The Story of the Pope Who Brought the Light of Science to the Dark Ages</v>
      </c>
      <c r="B36" s="6" t="s">
        <v>59</v>
      </c>
      <c r="C36" s="6" t="s">
        <v>2</v>
      </c>
      <c r="D36" s="7">
        <v>2010</v>
      </c>
      <c r="E36" s="8" t="s">
        <v>221</v>
      </c>
      <c r="F36" s="6" t="s">
        <v>290</v>
      </c>
    </row>
    <row r="37" spans="1:6" ht="24.6" customHeight="1" x14ac:dyDescent="0.2">
      <c r="A37" s="5" t="str">
        <f>HYPERLINK("https://www.amazon.com/Einsteins-Universe-Nigel-Calder/dp/0517385708", "Einstein's Universe ")</f>
        <v xml:space="preserve">Einstein's Universe </v>
      </c>
      <c r="B37" s="6" t="s">
        <v>196</v>
      </c>
      <c r="C37" s="6" t="s">
        <v>197</v>
      </c>
      <c r="D37" s="7">
        <v>1988</v>
      </c>
      <c r="F37" s="6" t="s">
        <v>264</v>
      </c>
    </row>
    <row r="38" spans="1:6" ht="31.15" customHeight="1" x14ac:dyDescent="0.2">
      <c r="A38" s="5" t="str">
        <f>HYPERLINK("https://www.amazon.com/Mathematical-Recreations-Lewis-Carroll-Recreational/dp/0486204936", "The Mathematical Recreations of Lewis Carroll: Pillow Problems and a Tangled Tale")</f>
        <v>The Mathematical Recreations of Lewis Carroll: Pillow Problems and a Tangled Tale</v>
      </c>
      <c r="B38" s="6" t="s">
        <v>185</v>
      </c>
      <c r="C38" s="6" t="s">
        <v>242</v>
      </c>
      <c r="D38" s="7">
        <v>1958</v>
      </c>
      <c r="F38" s="6" t="s">
        <v>258</v>
      </c>
    </row>
    <row r="39" spans="1:6" s="10" customFormat="1" ht="24.6" customHeight="1" x14ac:dyDescent="0.2">
      <c r="A39" s="9" t="str">
        <f>HYPERLINK("https://www.amazon.com/Meta-Math-Quest-Gregory-Chaitin/dp/1400077974", "Meta Math!: The Quest for Omega")</f>
        <v>Meta Math!: The Quest for Omega</v>
      </c>
      <c r="B39" s="10" t="s">
        <v>376</v>
      </c>
      <c r="C39" s="10" t="s">
        <v>88</v>
      </c>
      <c r="D39" s="12">
        <v>2006</v>
      </c>
      <c r="E39" s="11"/>
      <c r="F39" s="10" t="s">
        <v>371</v>
      </c>
    </row>
    <row r="40" spans="1:6" ht="24.6" customHeight="1" x14ac:dyDescent="0.2">
      <c r="A40" s="5" t="str">
        <f>HYPERLINK("https://www.amazon.com/Art-Logic-Illogical-World/dp/B07J4Z9BGJ", "The Art of Logic in an Illogical World")</f>
        <v>The Art of Logic in an Illogical World</v>
      </c>
      <c r="B40" s="6" t="s">
        <v>71</v>
      </c>
      <c r="C40" s="6" t="s">
        <v>2</v>
      </c>
      <c r="D40" s="7">
        <v>2018</v>
      </c>
      <c r="F40" s="6" t="s">
        <v>293</v>
      </c>
    </row>
    <row r="41" spans="1:6" s="10" customFormat="1" ht="30.6" customHeight="1" x14ac:dyDescent="0.2">
      <c r="A41" s="9" t="str">
        <f>HYPERLINK("https://www.amazon.com/Joy-Abstraction-Exploration-Category-Theory/dp/1108477224", "The Joy of Abstraction: An Exploration of Math, Category Theory, and Life")</f>
        <v>The Joy of Abstraction: An Exploration of Math, Category Theory, and Life</v>
      </c>
      <c r="B41" s="10" t="s">
        <v>71</v>
      </c>
      <c r="C41" s="10" t="s">
        <v>377</v>
      </c>
      <c r="D41" s="12">
        <v>2022</v>
      </c>
      <c r="E41" s="11"/>
      <c r="F41" s="10" t="s">
        <v>371</v>
      </c>
    </row>
    <row r="42" spans="1:6" ht="24.6" customHeight="1" x14ac:dyDescent="0.2">
      <c r="A42" s="5" t="str">
        <f>HYPERLINK("https://www.amazon.com/Whats-Happening-Mathematical-Sciences-4/dp/0821807668", "What's Happening in the Mathematical Sciences, Vol. 4")</f>
        <v>What's Happening in the Mathematical Sciences, Vol. 4</v>
      </c>
      <c r="B42" s="6" t="s">
        <v>81</v>
      </c>
      <c r="C42" s="6" t="s">
        <v>127</v>
      </c>
      <c r="D42" s="7">
        <v>1998</v>
      </c>
      <c r="F42" s="6" t="s">
        <v>317</v>
      </c>
    </row>
    <row r="43" spans="1:6" ht="24.6" customHeight="1" x14ac:dyDescent="0.2">
      <c r="A43" s="5" t="str">
        <f>HYPERLINK("https://www.amazon.com/Whats-Happening-Mathematical-Sciences-2001-2002/dp/0821829041", "What's Happening in the Mathematical Sciences, Vol. 5")</f>
        <v>What's Happening in the Mathematical Sciences, Vol. 5</v>
      </c>
      <c r="B43" s="6" t="s">
        <v>81</v>
      </c>
      <c r="C43" s="6" t="s">
        <v>127</v>
      </c>
      <c r="D43" s="7">
        <v>2002</v>
      </c>
      <c r="F43" s="6" t="s">
        <v>302</v>
      </c>
    </row>
    <row r="44" spans="1:6" ht="24.6" customHeight="1" x14ac:dyDescent="0.2">
      <c r="A44" s="5" t="str">
        <f>HYPERLINK("https://www.amazon.com/Geometric-Puzzle-Design-Stewart-Coffin/dp/1568813120", "Geometric Puzzle Design")</f>
        <v>Geometric Puzzle Design</v>
      </c>
      <c r="B44" s="6" t="s">
        <v>49</v>
      </c>
      <c r="C44" s="6" t="s">
        <v>10</v>
      </c>
      <c r="D44" s="7">
        <v>2007</v>
      </c>
      <c r="F44" s="6" t="s">
        <v>254</v>
      </c>
    </row>
    <row r="45" spans="1:6" ht="24.6" customHeight="1" x14ac:dyDescent="0.2">
      <c r="A45" s="5" t="str">
        <f>HYPERLINK("https://www.amazon.com/News-Numbers-Writers-Guide-Statistics-ebook/dp/B005MJF496", "News &amp; Numbers ")</f>
        <v xml:space="preserve">News &amp; Numbers </v>
      </c>
      <c r="B45" s="6" t="s">
        <v>105</v>
      </c>
      <c r="C45" s="6" t="s">
        <v>215</v>
      </c>
      <c r="D45" s="7">
        <v>1989</v>
      </c>
      <c r="E45" s="8" t="s">
        <v>222</v>
      </c>
    </row>
    <row r="46" spans="1:6" s="10" customFormat="1" ht="24.6" customHeight="1" x14ac:dyDescent="0.2">
      <c r="A46" s="9" t="str">
        <f>HYPERLINK("https://www.amazon.com/Universe-Teacup-Mathematics-Truth-Beauty-dp-0151003238/dp/0151003238", "The Universe and the Teacup")</f>
        <v>The Universe and the Teacup</v>
      </c>
      <c r="B46" s="10" t="s">
        <v>379</v>
      </c>
      <c r="C46" s="10" t="s">
        <v>378</v>
      </c>
      <c r="D46" s="12">
        <v>1998</v>
      </c>
      <c r="E46" s="11"/>
      <c r="F46" s="10" t="s">
        <v>371</v>
      </c>
    </row>
    <row r="47" spans="1:6" ht="24.6" customHeight="1" x14ac:dyDescent="0.2">
      <c r="A47" s="5" t="str">
        <f>HYPERLINK("https://www.amazon.com/Book-Numbers-John-H-Conway-ebook/dp/B001PIIBO8", "The Book of Numbers")</f>
        <v>The Book of Numbers</v>
      </c>
      <c r="B47" s="6" t="s">
        <v>173</v>
      </c>
      <c r="C47" s="6" t="s">
        <v>174</v>
      </c>
      <c r="D47" s="7">
        <v>1996</v>
      </c>
      <c r="E47" s="8" t="s">
        <v>221</v>
      </c>
      <c r="F47" s="6" t="s">
        <v>320</v>
      </c>
    </row>
    <row r="48" spans="1:6" ht="34.15" customHeight="1" x14ac:dyDescent="0.2">
      <c r="A48" s="5" t="str">
        <f>HYPERLINK("https://www.amazon.com/Pursuit-Traveling-Salesman-Mathematics-Computation-ebook/dp/B0073X0IR2", "In Pursuit of the Traveling Salesman: Mathematics at the Limits of Computation")</f>
        <v>In Pursuit of the Traveling Salesman: Mathematics at the Limits of Computation</v>
      </c>
      <c r="B48" s="6" t="s">
        <v>3</v>
      </c>
      <c r="C48" s="6" t="s">
        <v>208</v>
      </c>
      <c r="D48" s="7">
        <v>2012</v>
      </c>
      <c r="F48" s="6" t="s">
        <v>224</v>
      </c>
    </row>
    <row r="49" spans="1:6" ht="27" customHeight="1" x14ac:dyDescent="0.2">
      <c r="A49" s="5" t="str">
        <f>HYPERLINK("https://www.amazon.com/What-Mathematics-Elementary-Approach-Methods-ebook/dp/B000SEKHFG", "What Is Mathematics? An Elementary Approach to Ideas and Methods")</f>
        <v>What Is Mathematics? An Elementary Approach to Ideas and Methods</v>
      </c>
      <c r="B49" s="6" t="s">
        <v>170</v>
      </c>
      <c r="C49" s="6" t="s">
        <v>207</v>
      </c>
      <c r="D49" s="7">
        <v>1996</v>
      </c>
      <c r="E49" s="8" t="s">
        <v>223</v>
      </c>
      <c r="F49" s="6" t="s">
        <v>317</v>
      </c>
    </row>
    <row r="50" spans="1:6" ht="24.6" customHeight="1" x14ac:dyDescent="0.2">
      <c r="A50" s="5" t="str">
        <f>HYPERLINK("https://www.amazon.com/Number-Language-Science-Tobias-Dantzig/dp/0452288118", "Number: The Language of Science")</f>
        <v>Number: The Language of Science</v>
      </c>
      <c r="B50" s="6" t="s">
        <v>106</v>
      </c>
      <c r="C50" s="6" t="s">
        <v>107</v>
      </c>
      <c r="D50" s="7">
        <v>2005</v>
      </c>
      <c r="E50" s="8" t="s">
        <v>221</v>
      </c>
    </row>
    <row r="51" spans="1:6" ht="24.6" customHeight="1" x14ac:dyDescent="0.2">
      <c r="A51" s="5" t="str">
        <f>HYPERLINK("https://www.amazon.com/Games-gods-gambling-probability-statistical/dp/B0006AYASM", "Games, Gods and Gambling")</f>
        <v>Games, Gods and Gambling</v>
      </c>
      <c r="B51" s="6" t="s">
        <v>415</v>
      </c>
      <c r="C51" s="13" t="s">
        <v>414</v>
      </c>
      <c r="D51" s="7">
        <v>1962</v>
      </c>
      <c r="E51" s="8" t="s">
        <v>222</v>
      </c>
      <c r="F51" s="6" t="s">
        <v>322</v>
      </c>
    </row>
    <row r="52" spans="1:6" ht="24.6" customHeight="1" x14ac:dyDescent="0.2">
      <c r="A52" s="5" t="str">
        <f>HYPERLINK("https://www.amazon.com/Lore-Large-Numbers-Mathematical-Library/dp/B0006AX8UI", "The Lore of Large Numbers")</f>
        <v>The Lore of Large Numbers</v>
      </c>
      <c r="B52" s="6" t="s">
        <v>116</v>
      </c>
      <c r="C52" s="6" t="s">
        <v>240</v>
      </c>
      <c r="D52" s="7">
        <v>1975</v>
      </c>
    </row>
    <row r="53" spans="1:6" ht="29.25" customHeight="1" x14ac:dyDescent="0.2">
      <c r="A53" s="5" t="str">
        <f>HYPERLINK("https://www.amazon.com/Mathematics-Common-Sense-Creative-Tension-ebook/dp/B00UVA0LU8", "Mathematics and Common Sense: A Case of Creative Tension")</f>
        <v>Mathematics and Common Sense: A Case of Creative Tension</v>
      </c>
      <c r="B53" s="6" t="s">
        <v>133</v>
      </c>
      <c r="C53" s="6" t="s">
        <v>10</v>
      </c>
      <c r="D53" s="7">
        <v>2006</v>
      </c>
      <c r="F53" s="6" t="s">
        <v>309</v>
      </c>
    </row>
    <row r="54" spans="1:6" ht="24.6" customHeight="1" x14ac:dyDescent="0.2">
      <c r="A54" s="5" t="str">
        <f>HYPERLINK("https://www.amazon.com/3-1416-All-That-P-davis-w-chinn/dp/0671203320", "3.1416 and All That")</f>
        <v>3.1416 and All That</v>
      </c>
      <c r="B54" s="6" t="s">
        <v>83</v>
      </c>
      <c r="C54" s="6" t="s">
        <v>242</v>
      </c>
      <c r="D54" s="7">
        <v>2007</v>
      </c>
      <c r="E54" s="8" t="s">
        <v>222</v>
      </c>
    </row>
    <row r="55" spans="1:6" ht="24.6" customHeight="1" x14ac:dyDescent="0.2">
      <c r="A55" s="5" t="str">
        <f>HYPERLINK("https://www.amazon.com/Mathematical-Experience-Phillip-J-Davis/dp/0395929687", "The Mathematical Experience")</f>
        <v>The Mathematical Experience</v>
      </c>
      <c r="B55" s="6" t="s">
        <v>167</v>
      </c>
      <c r="C55" s="6" t="s">
        <v>168</v>
      </c>
      <c r="D55" s="7">
        <v>1999</v>
      </c>
      <c r="F55" s="6" t="s">
        <v>317</v>
      </c>
    </row>
    <row r="56" spans="1:6" s="10" customFormat="1" ht="24.6" customHeight="1" x14ac:dyDescent="0.2">
      <c r="A56" s="9" t="str">
        <f>HYPERLINK("https://www.amazon.com/Number-Sense-Creates-Mathematics-Revised/dp/0199753873", "The Number Sense")</f>
        <v>The Number Sense</v>
      </c>
      <c r="B56" s="10" t="s">
        <v>380</v>
      </c>
      <c r="C56" s="10" t="s">
        <v>370</v>
      </c>
      <c r="D56" s="12">
        <v>2011</v>
      </c>
      <c r="E56" s="11"/>
      <c r="F56" s="10" t="s">
        <v>371</v>
      </c>
    </row>
    <row r="57" spans="1:6" ht="24.6" customHeight="1" x14ac:dyDescent="0.2">
      <c r="A57" s="5" t="str">
        <f>HYPERLINK("https://www.amazon.com/Lifetime-Puzzles-Erik-D-Demaine/dp/0367386569", "A Lifetime of Puzzles: Honoring Martin Gardner")</f>
        <v>A Lifetime of Puzzles: Honoring Martin Gardner</v>
      </c>
      <c r="B57" s="6" t="s">
        <v>341</v>
      </c>
      <c r="C57" s="6" t="s">
        <v>10</v>
      </c>
      <c r="D57" s="7">
        <v>2008</v>
      </c>
      <c r="F57" s="6" t="s">
        <v>257</v>
      </c>
    </row>
    <row r="58" spans="1:6" s="10" customFormat="1" ht="33" customHeight="1" x14ac:dyDescent="0.2">
      <c r="A58" s="9" t="str">
        <f>HYPERLINK("https://www.amazon.com/Prime-Obsession-Bernhard-Greatest-Mathematics/dp/0452285259", "Prime Obsession: Bernhard Riemann and the Greatest Unsolved Problem in Mathematics")</f>
        <v>Prime Obsession: Bernhard Riemann and the Greatest Unsolved Problem in Mathematics</v>
      </c>
      <c r="B58" s="10" t="s">
        <v>382</v>
      </c>
      <c r="C58" s="10" t="s">
        <v>381</v>
      </c>
      <c r="D58" s="12">
        <v>2004</v>
      </c>
      <c r="E58" s="11"/>
      <c r="F58" s="10" t="s">
        <v>371</v>
      </c>
    </row>
    <row r="59" spans="1:6" s="10" customFormat="1" ht="33" customHeight="1" x14ac:dyDescent="0.2">
      <c r="A59" s="9" t="str">
        <f>HYPERLINK("https://www.amazon.com/Quantity-Real-Imaginary-History-Algebra/dp/0452288533", "Unknown Quantity: A Real and Imaginary History of Algebra")</f>
        <v>Unknown Quantity: A Real and Imaginary History of Algebra</v>
      </c>
      <c r="B59" s="10" t="s">
        <v>382</v>
      </c>
      <c r="C59" s="10" t="s">
        <v>381</v>
      </c>
      <c r="D59" s="12">
        <v>2007</v>
      </c>
      <c r="E59" s="11"/>
      <c r="F59" s="10" t="s">
        <v>371</v>
      </c>
    </row>
    <row r="60" spans="1:6" ht="27" customHeight="1" x14ac:dyDescent="0.2">
      <c r="A60" s="5" t="str">
        <f>HYPERLINK("https://www.amazon.com/Mathematics-New-Golden-Keith-Devlin/dp/023111639X", "Mathematics: New Golden Age")</f>
        <v>Mathematics: New Golden Age</v>
      </c>
      <c r="B60" s="6" t="s">
        <v>119</v>
      </c>
      <c r="C60" s="13" t="s">
        <v>416</v>
      </c>
      <c r="D60" s="12">
        <v>2001</v>
      </c>
      <c r="F60" s="6" t="s">
        <v>371</v>
      </c>
    </row>
    <row r="61" spans="1:6" ht="30.6" customHeight="1" x14ac:dyDescent="0.2">
      <c r="A61" s="5" t="str">
        <f>HYPERLINK("https://www.amazon.com/Millennium-Problems-Greatest-Unsolved-Mathematical/dp/0465017304", "The Millennium Problems: The Seven Greatest Unsolved Mathematical Puzzles of Our Time ")</f>
        <v xml:space="preserve">The Millennium Problems: The Seven Greatest Unsolved Mathematical Puzzles of Our Time </v>
      </c>
      <c r="B61" s="6" t="s">
        <v>119</v>
      </c>
      <c r="C61" s="6" t="s">
        <v>120</v>
      </c>
      <c r="D61" s="7">
        <v>2002</v>
      </c>
    </row>
    <row r="62" spans="1:6" ht="29.45" customHeight="1" x14ac:dyDescent="0.2">
      <c r="A62" s="5" t="str">
        <f>HYPERLINK("https://www.amazon.com/Planiverse-Computer-Contact-Two-Dimensional-World/dp/0387989161", "The Planiverse: Computer Contact with a Two-Dimensional World ")</f>
        <v xml:space="preserve">The Planiverse: Computer Contact with a Two-Dimensional World </v>
      </c>
      <c r="B62" s="6" t="s">
        <v>123</v>
      </c>
      <c r="C62" s="6" t="s">
        <v>12</v>
      </c>
      <c r="D62" s="7">
        <v>2000</v>
      </c>
    </row>
    <row r="63" spans="1:6" ht="30" customHeight="1" x14ac:dyDescent="0.2">
      <c r="A63" s="5" t="str">
        <f>HYPERLINK("https://www.amazon.com/Magical-Mathematics-Mathematical-Animate-Tricks/dp/0691169772", "Magical Mathematics: The Mathematical Ideas that Animate Great Magic Tricks")</f>
        <v>Magical Mathematics: The Mathematical Ideas that Animate Great Magic Tricks</v>
      </c>
      <c r="B63" s="6" t="s">
        <v>148</v>
      </c>
      <c r="C63" s="6" t="s">
        <v>208</v>
      </c>
      <c r="D63" s="7">
        <v>2011</v>
      </c>
      <c r="F63" s="6" t="s">
        <v>258</v>
      </c>
    </row>
    <row r="64" spans="1:6" s="10" customFormat="1" ht="24.6" customHeight="1" x14ac:dyDescent="0.2">
      <c r="A64" s="9" t="str">
        <f>HYPERLINK("https://www.amazon.com/Symmetry-Journey-into-Patterns-Nature/dp/0060789417", "Symmetry: A Journey into the Patterns of Nature")</f>
        <v>Symmetry: A Journey into the Patterns of Nature</v>
      </c>
      <c r="B64" s="10" t="s">
        <v>121</v>
      </c>
      <c r="C64" s="10" t="s">
        <v>400</v>
      </c>
      <c r="D64" s="12">
        <v>2009</v>
      </c>
      <c r="E64" s="11"/>
      <c r="F64" s="10" t="s">
        <v>371</v>
      </c>
    </row>
    <row r="65" spans="1:6" ht="28.15" customHeight="1" x14ac:dyDescent="0.2">
      <c r="A65" s="5" t="str">
        <f>HYPERLINK("https://www.amazon.com/Number-Mysteries-Mathematical-Odyssey-Everyday-ebook/dp/B004OA6434", "The Number Mysteries: A Mathematical Odyssey Through Everyday Life")</f>
        <v>The Number Mysteries: A Mathematical Odyssey Through Everyday Life</v>
      </c>
      <c r="B65" s="6" t="s">
        <v>121</v>
      </c>
      <c r="C65" s="6" t="s">
        <v>122</v>
      </c>
      <c r="D65" s="7">
        <v>2011</v>
      </c>
    </row>
    <row r="66" spans="1:6" s="10" customFormat="1" ht="30" customHeight="1" x14ac:dyDescent="0.2">
      <c r="A66" s="9" t="str">
        <f>HYPERLINK("https://www.amazon.com/Music-Primes-Searching-Greatest-Mathematics/dp/0062064010", "The Music of the Primes: Searching to Solve the Greatest Mystery in Mathematics")</f>
        <v>The Music of the Primes: Searching to Solve the Greatest Mystery in Mathematics</v>
      </c>
      <c r="B66" s="10" t="s">
        <v>121</v>
      </c>
      <c r="C66" s="10" t="s">
        <v>400</v>
      </c>
      <c r="D66" s="12">
        <v>2012</v>
      </c>
      <c r="E66" s="11"/>
      <c r="F66" s="10" t="s">
        <v>371</v>
      </c>
    </row>
    <row r="67" spans="1:6" ht="24.6" customHeight="1" x14ac:dyDescent="0.2">
      <c r="A67" s="5" t="str">
        <f>HYPERLINK("https://www.amazon.com/Amusements-Mathematics-Illustrations-Henry-Dudeney-ebook/dp/B01K0VP8UA", "Amusements in Mathematics")</f>
        <v>Amusements in Mathematics</v>
      </c>
      <c r="B67" s="6" t="s">
        <v>136</v>
      </c>
      <c r="C67" s="6" t="s">
        <v>242</v>
      </c>
      <c r="D67" s="7">
        <v>1958</v>
      </c>
      <c r="F67" s="6" t="s">
        <v>312</v>
      </c>
    </row>
    <row r="68" spans="1:6" ht="24.6" customHeight="1" x14ac:dyDescent="0.2">
      <c r="A68" s="5" t="str">
        <f>HYPERLINK("https://www.amazon.com/Puzzles-Curious-Problems-Henry-Dudeney-ebook/dp/B074G9ZG62", "536 Puzzles and Curious Problems")</f>
        <v>536 Puzzles and Curious Problems</v>
      </c>
      <c r="B68" s="6" t="s">
        <v>136</v>
      </c>
      <c r="C68" s="6" t="s">
        <v>242</v>
      </c>
      <c r="D68" s="7">
        <v>1983</v>
      </c>
      <c r="E68" s="8" t="s">
        <v>223</v>
      </c>
      <c r="F68" s="6" t="s">
        <v>258</v>
      </c>
    </row>
    <row r="69" spans="1:6" ht="24.6" customHeight="1" x14ac:dyDescent="0.2">
      <c r="A69" s="5" t="str">
        <f>HYPERLINK("https://www.amazon.com/Canterbury-Puzzles-Problems-Illustrated-Annotated-ebook/dp/B007Z5874Y", "The Canterbury Puzzles")</f>
        <v>The Canterbury Puzzles</v>
      </c>
      <c r="B69" s="6" t="s">
        <v>136</v>
      </c>
      <c r="C69" s="6" t="s">
        <v>242</v>
      </c>
      <c r="D69" s="7">
        <v>2002</v>
      </c>
      <c r="F69" s="6" t="s">
        <v>312</v>
      </c>
    </row>
    <row r="70" spans="1:6" ht="24.6" customHeight="1" x14ac:dyDescent="0.2">
      <c r="A70" s="5" t="str">
        <f>HYPERLINK("https://www.amazon.com/Journey-through-Genius-Theorems-Mathematics/dp/014014739X", "Journey Through Genius: The Great Theorems of Mathematics")</f>
        <v>Journey Through Genius: The Great Theorems of Mathematics</v>
      </c>
      <c r="B70" s="6" t="s">
        <v>56</v>
      </c>
      <c r="C70" s="6" t="s">
        <v>57</v>
      </c>
      <c r="D70" s="7">
        <v>1990</v>
      </c>
      <c r="E70" s="8" t="s">
        <v>223</v>
      </c>
      <c r="F70" s="6" t="s">
        <v>290</v>
      </c>
    </row>
    <row r="71" spans="1:6" s="10" customFormat="1" ht="24.6" customHeight="1" x14ac:dyDescent="0.2">
      <c r="A71" s="9" t="str">
        <f>HYPERLINK("https://www.amazon.com/Euler-Master-Dolciani-Mathematical-Expositions/dp/0883853280", "Euler: The Master of Us All")</f>
        <v>Euler: The Master of Us All</v>
      </c>
      <c r="B71" s="10" t="s">
        <v>56</v>
      </c>
      <c r="C71" s="10" t="s">
        <v>127</v>
      </c>
      <c r="D71" s="12">
        <v>1999</v>
      </c>
      <c r="E71" s="11"/>
      <c r="F71" s="10" t="s">
        <v>371</v>
      </c>
    </row>
    <row r="72" spans="1:6" ht="24.6" customHeight="1" x14ac:dyDescent="0.2">
      <c r="A72" s="5" t="str">
        <f>HYPERLINK("https://www.amazon.com/Why-Buses-Come-Threes-Mathematics/dp/1911622277", "Why do Buses Come in Threes?")</f>
        <v>Why do Buses Come in Threes?</v>
      </c>
      <c r="B72" s="6" t="s">
        <v>419</v>
      </c>
      <c r="C72" s="13" t="s">
        <v>417</v>
      </c>
      <c r="D72" s="12">
        <v>2020</v>
      </c>
      <c r="F72" s="6" t="s">
        <v>371</v>
      </c>
    </row>
    <row r="73" spans="1:6" ht="24.6" customHeight="1" x14ac:dyDescent="0.2">
      <c r="A73" s="5" t="str">
        <f>HYPERLINK("https://www.amazon.com/How-Long-Piece-String-Mathematics/dp/1911622269", "How Long Is A Piece of String")</f>
        <v>How Long Is A Piece of String</v>
      </c>
      <c r="B73" s="6" t="s">
        <v>418</v>
      </c>
      <c r="C73" s="13" t="s">
        <v>417</v>
      </c>
      <c r="D73" s="12">
        <v>2021</v>
      </c>
      <c r="F73" s="6" t="s">
        <v>371</v>
      </c>
    </row>
    <row r="74" spans="1:6" ht="24.6" customHeight="1" x14ac:dyDescent="0.2">
      <c r="A74" s="5" t="str">
        <f>HYPERLINK("https://www.amazon.com/Mathematics-Unexpected-Ivar-Ekeland/dp/0226199894", "Mathematics and The Unexpected")</f>
        <v>Mathematics and The Unexpected</v>
      </c>
      <c r="B74" s="6" t="s">
        <v>18</v>
      </c>
      <c r="C74" s="6" t="s">
        <v>218</v>
      </c>
      <c r="D74" s="7">
        <v>1990</v>
      </c>
      <c r="E74" s="8" t="s">
        <v>222</v>
      </c>
      <c r="F74" s="6" t="s">
        <v>317</v>
      </c>
    </row>
    <row r="75" spans="1:6" ht="24.6" customHeight="1" x14ac:dyDescent="0.2">
      <c r="A75" s="5" t="str">
        <f>HYPERLINK("https://www.amazon.com/Best-All-Possible-Worlds-Mathematics/dp/0226199959", "The Best of All Possible Worlds: Mathematics and Destiny")</f>
        <v>The Best of All Possible Worlds: Mathematics and Destiny</v>
      </c>
      <c r="B75" s="6" t="s">
        <v>18</v>
      </c>
      <c r="C75" s="6" t="s">
        <v>209</v>
      </c>
      <c r="D75" s="7">
        <v>2006</v>
      </c>
      <c r="F75" s="6" t="s">
        <v>273</v>
      </c>
    </row>
    <row r="76" spans="1:6" s="10" customFormat="1" ht="24.6" customHeight="1" x14ac:dyDescent="0.2">
      <c r="A76" s="9" t="str">
        <f>HYPERLINK("https://www.amazon.com/How-Not-Be-Wrong-Mathematical/dp/1594205221", "How Not to Be Wrong: The Power of Mathematical Thinking")</f>
        <v>How Not to Be Wrong: The Power of Mathematical Thinking</v>
      </c>
      <c r="B76" s="10" t="s">
        <v>384</v>
      </c>
      <c r="C76" s="10" t="s">
        <v>383</v>
      </c>
      <c r="D76" s="12">
        <v>2014</v>
      </c>
      <c r="E76" s="11"/>
      <c r="F76" s="10" t="s">
        <v>371</v>
      </c>
    </row>
    <row r="77" spans="1:6" s="10" customFormat="1" ht="24.6" customHeight="1" x14ac:dyDescent="0.2">
      <c r="A77" s="9" t="str">
        <f>HYPERLINK("https://www.amazon.com/Shape-Geometry-Information-Democracy-Everything/dp/1984879057", "Shape: The Hidden Geometry of Information, Biology, Strategy, Democracy, and Everything Else")</f>
        <v>Shape: The Hidden Geometry of Information, Biology, Strategy, Democracy, and Everything Else</v>
      </c>
      <c r="B77" s="10" t="s">
        <v>384</v>
      </c>
      <c r="C77" s="10" t="s">
        <v>383</v>
      </c>
      <c r="D77" s="12">
        <v>2021</v>
      </c>
      <c r="E77" s="11"/>
      <c r="F77" s="10" t="s">
        <v>371</v>
      </c>
    </row>
    <row r="78" spans="1:6" ht="24.6" customHeight="1" x14ac:dyDescent="0.2">
      <c r="A78" s="5" t="str">
        <f>HYPERLINK("https://en.wikipedia.org/wiki/Top_Secret_Rosies:_The_Female_%22Computers%22_of_WWII", "Top Secret Rosies: The Female Computers of World War II")</f>
        <v>Top Secret Rosies: The Female Computers of World War II</v>
      </c>
      <c r="B78" s="6" t="s">
        <v>62</v>
      </c>
      <c r="C78" s="6" t="s">
        <v>336</v>
      </c>
      <c r="D78" s="7">
        <v>2010</v>
      </c>
      <c r="E78" s="8" t="s">
        <v>222</v>
      </c>
      <c r="F78" s="6" t="s">
        <v>290</v>
      </c>
    </row>
    <row r="79" spans="1:6" ht="24.6" customHeight="1" x14ac:dyDescent="0.2">
      <c r="A79" s="5" t="str">
        <f>HYPERLINK("https://www.amazon.com/Foundations-Fundamental-Concepts-Mathematics-Dover/dp/048669609X", "Foundations and Fundamental Concepts of Mathematics")</f>
        <v>Foundations and Fundamental Concepts of Mathematics</v>
      </c>
      <c r="B79" s="6" t="s">
        <v>420</v>
      </c>
      <c r="C79" s="13" t="s">
        <v>242</v>
      </c>
      <c r="D79" s="7">
        <v>1997</v>
      </c>
      <c r="F79" s="6" t="s">
        <v>309</v>
      </c>
    </row>
    <row r="80" spans="1:6" ht="24.6" customHeight="1" x14ac:dyDescent="0.2">
      <c r="A80" s="5" t="str">
        <f>HYPERLINK("https://www.amazon.com/Mathematical-Magpie-Clifton-Fadiman/dp/038794950X", "The Mathematical Magpie")</f>
        <v>The Mathematical Magpie</v>
      </c>
      <c r="B80" s="6" t="s">
        <v>324</v>
      </c>
      <c r="C80" s="6" t="s">
        <v>12</v>
      </c>
      <c r="D80" s="7">
        <v>1997</v>
      </c>
      <c r="E80" s="8" t="s">
        <v>222</v>
      </c>
      <c r="F80" s="6" t="s">
        <v>305</v>
      </c>
    </row>
    <row r="81" spans="1:6" ht="24.6" customHeight="1" x14ac:dyDescent="0.2">
      <c r="A81" s="5" t="str">
        <f>HYPERLINK("https://www.amazon.com/Fractals-Very-Short-Introduction-Introductions-ebook/dp/B00ECX4KBQ", "Fractals: A Very Short Introduction")</f>
        <v>Fractals: A Very Short Introduction</v>
      </c>
      <c r="B81" s="6" t="s">
        <v>39</v>
      </c>
      <c r="C81" s="6" t="s">
        <v>207</v>
      </c>
      <c r="D81" s="7">
        <v>2013</v>
      </c>
      <c r="F81" s="6" t="s">
        <v>283</v>
      </c>
    </row>
    <row r="82" spans="1:6" ht="24.6" customHeight="1" x14ac:dyDescent="0.2">
      <c r="A82" s="5" t="str">
        <f>HYPERLINK("https://www.amazon.com/Golden-Ticket-NP-Search-Impossible-ebook/dp/B00BKZYGUY", "The Golden Ticket: P, NP and the Search for the Impossible")</f>
        <v>The Golden Ticket: P, NP and the Search for the Impossible</v>
      </c>
      <c r="B82" s="6" t="s">
        <v>171</v>
      </c>
      <c r="C82" s="6" t="s">
        <v>208</v>
      </c>
      <c r="D82" s="7">
        <v>2013</v>
      </c>
      <c r="F82" s="6" t="s">
        <v>319</v>
      </c>
    </row>
    <row r="83" spans="1:6" ht="24.6" customHeight="1" x14ac:dyDescent="0.2">
      <c r="A83" s="5" t="str">
        <f>HYPERLINK("https://www.amazon.com/Love-Math-Heart-Hidden-Reality-ebook/dp/B00BKRW5E6", "Love and Math: The Heart of Hidden Reality")</f>
        <v>Love and Math: The Heart of Hidden Reality</v>
      </c>
      <c r="B83" s="6" t="s">
        <v>14</v>
      </c>
      <c r="C83" s="6" t="s">
        <v>2</v>
      </c>
      <c r="D83" s="7">
        <v>2013</v>
      </c>
      <c r="F83" s="6" t="s">
        <v>272</v>
      </c>
    </row>
    <row r="84" spans="1:6" ht="24.6" customHeight="1" x14ac:dyDescent="0.2">
      <c r="A84" s="5" t="str">
        <f>HYPERLINK("https://www.amazon.com/Handbook-Cubik-Math-Alexander-Frey-ebook/dp/B08QDVJLKM", "Handbook of Cubik Math")</f>
        <v>Handbook of Cubik Math</v>
      </c>
      <c r="B84" s="6" t="s">
        <v>142</v>
      </c>
      <c r="C84" s="6" t="s">
        <v>143</v>
      </c>
      <c r="D84" s="7">
        <v>2001</v>
      </c>
      <c r="F84" s="6" t="s">
        <v>258</v>
      </c>
    </row>
    <row r="85" spans="1:6" ht="24.6" customHeight="1" x14ac:dyDescent="0.2">
      <c r="A85" s="5" t="str">
        <f>HYPERLINK("https://www.amazon.com/Pythagoras-Einstein-K-Friedrichs/dp/B00135OZDE", "From Pythagoras to Einstein")</f>
        <v>From Pythagoras to Einstein</v>
      </c>
      <c r="B85" s="6" t="s">
        <v>41</v>
      </c>
      <c r="C85" s="6" t="s">
        <v>241</v>
      </c>
      <c r="D85" s="7">
        <v>1975</v>
      </c>
      <c r="E85" s="8" t="s">
        <v>222</v>
      </c>
      <c r="F85" s="6" t="s">
        <v>284</v>
      </c>
    </row>
    <row r="86" spans="1:6" ht="24.6" customHeight="1" x14ac:dyDescent="0.2">
      <c r="A86" s="5" t="str">
        <f>HYPERLINK("https://www.amazon.com/Mathematics-Magic-Mystery-Dover-Recreational/dp/0486203352", "Mathematics, Magic and Mystery")</f>
        <v>Mathematics, Magic and Mystery</v>
      </c>
      <c r="B86" s="6" t="s">
        <v>20</v>
      </c>
      <c r="C86" s="6" t="s">
        <v>242</v>
      </c>
      <c r="D86" s="7">
        <v>1956</v>
      </c>
      <c r="E86" s="8" t="s">
        <v>222</v>
      </c>
      <c r="F86" s="6" t="s">
        <v>368</v>
      </c>
    </row>
    <row r="87" spans="1:6" ht="24.6" customHeight="1" x14ac:dyDescent="0.2">
      <c r="A87" s="5" t="str">
        <f>HYPERLINK("https://www.amazon.com/Mathematical-Puzzles-Sam-Loyd/dp/0486204987", "The Mathematical Puzzles of Sam Loyd")</f>
        <v>The Mathematical Puzzles of Sam Loyd</v>
      </c>
      <c r="B87" s="6" t="s">
        <v>20</v>
      </c>
      <c r="C87" s="6" t="s">
        <v>242</v>
      </c>
      <c r="D87" s="7">
        <v>1959</v>
      </c>
      <c r="E87" s="8" t="s">
        <v>223</v>
      </c>
      <c r="F87" s="6" t="s">
        <v>258</v>
      </c>
    </row>
    <row r="88" spans="1:6" ht="24.6" customHeight="1" x14ac:dyDescent="0.2">
      <c r="A88" s="5" t="str">
        <f>HYPERLINK("https://www.amazon.com/Gardners-Mathematical-Diversions-Scientific-American/dp/0226282503", "Martin Gardner's Sixth Book of Mathematical Diversions from Scientific American")</f>
        <v>Martin Gardner's Sixth Book of Mathematical Diversions from Scientific American</v>
      </c>
      <c r="B88" s="6" t="s">
        <v>20</v>
      </c>
      <c r="C88" s="6" t="s">
        <v>209</v>
      </c>
      <c r="D88" s="7">
        <v>1984</v>
      </c>
      <c r="E88" s="8" t="s">
        <v>222</v>
      </c>
      <c r="F88" s="6" t="s">
        <v>362</v>
      </c>
    </row>
    <row r="89" spans="1:6" ht="24.6" customHeight="1" x14ac:dyDescent="0.2">
      <c r="A89" s="5" t="str">
        <f>HYPERLINK("https://www.amazon.com/Wheels-Life-Other-Mathematical-Amusements/dp/0716715899", "Wheels, Life, and Other Mathematical Amusements")</f>
        <v>Wheels, Life, and Other Mathematical Amusements</v>
      </c>
      <c r="B89" s="6" t="s">
        <v>20</v>
      </c>
      <c r="C89" s="6" t="s">
        <v>348</v>
      </c>
      <c r="D89" s="7">
        <v>1985</v>
      </c>
      <c r="E89" s="8" t="s">
        <v>222</v>
      </c>
      <c r="F89" s="6" t="s">
        <v>363</v>
      </c>
    </row>
    <row r="90" spans="1:6" ht="24.6" customHeight="1" x14ac:dyDescent="0.2">
      <c r="A90" s="5" t="str">
        <f>HYPERLINK("https://www.amazon.com/Time-Travel-Other-Mathematical-Bewilderments/dp/0716719258", "Time Travel and Other Mathematical Bewilderments")</f>
        <v>Time Travel and Other Mathematical Bewilderments</v>
      </c>
      <c r="B90" s="6" t="s">
        <v>20</v>
      </c>
      <c r="C90" s="6" t="s">
        <v>348</v>
      </c>
      <c r="D90" s="7">
        <v>1987</v>
      </c>
      <c r="E90" s="8" t="s">
        <v>222</v>
      </c>
      <c r="F90" s="6" t="s">
        <v>364</v>
      </c>
    </row>
    <row r="91" spans="1:6" ht="24.6" customHeight="1" x14ac:dyDescent="0.2">
      <c r="A91" s="5" t="str">
        <f>HYPERLINK("https://www.amazon.com/Riddles-Sphinx-Mathematical-Puzzle-Library/dp/0883856328", "Riddles of the Sphinx and Other Mathematical Puzzle Tales")</f>
        <v>Riddles of the Sphinx and Other Mathematical Puzzle Tales</v>
      </c>
      <c r="B91" s="6" t="s">
        <v>20</v>
      </c>
      <c r="C91" s="6" t="s">
        <v>240</v>
      </c>
      <c r="D91" s="7">
        <v>1987</v>
      </c>
      <c r="F91" s="6" t="s">
        <v>258</v>
      </c>
    </row>
    <row r="92" spans="1:6" ht="29.45" customHeight="1" x14ac:dyDescent="0.2">
      <c r="A92" s="5" t="str">
        <f>HYPERLINK("https://www.amazon.com/Penrose-Tiles-Trapdoor-Ciphers-Spectrum/dp/0883855216", "Penrose Tiles To Trapdoor Ciphers, and the Return of Dr. Matrix")</f>
        <v>Penrose Tiles To Trapdoor Ciphers, and the Return of Dr. Matrix</v>
      </c>
      <c r="B92" s="6" t="s">
        <v>20</v>
      </c>
      <c r="C92" s="6" t="s">
        <v>240</v>
      </c>
      <c r="D92" s="7">
        <v>1996</v>
      </c>
      <c r="E92" s="8" t="s">
        <v>222</v>
      </c>
      <c r="F92" s="6" t="s">
        <v>365</v>
      </c>
    </row>
    <row r="93" spans="1:6" s="10" customFormat="1" ht="31.15" customHeight="1" x14ac:dyDescent="0.2">
      <c r="A93" s="9" t="str">
        <f>HYPERLINK("https://www.amazon.com/Colossal-Book-Mathematics-Paradoxes-Problems/dp/0393020231", "The Colossal Book of Mathematics:  Classic Puzzles, Paradoxes, and Problems")</f>
        <v>The Colossal Book of Mathematics:  Classic Puzzles, Paradoxes, and Problems</v>
      </c>
      <c r="B93" s="10" t="s">
        <v>20</v>
      </c>
      <c r="C93" s="10" t="s">
        <v>385</v>
      </c>
      <c r="D93" s="12">
        <v>2001</v>
      </c>
      <c r="E93" s="11"/>
      <c r="F93" s="10" t="s">
        <v>371</v>
      </c>
    </row>
    <row r="94" spans="1:6" ht="36" customHeight="1" x14ac:dyDescent="0.2">
      <c r="A94" s="5" t="str">
        <f>HYPERLINK("https://www.amazon.com/Martin-Gardners-Mathematical-Games-Gardner/dp/0883855453", "Martin Gardner's Mathematical Games: The Entire Collection of His Scientific American Columns")</f>
        <v>Martin Gardner's Mathematical Games: The Entire Collection of His Scientific American Columns</v>
      </c>
      <c r="B94" s="6" t="s">
        <v>20</v>
      </c>
      <c r="C94" s="6" t="s">
        <v>240</v>
      </c>
      <c r="D94" s="7">
        <v>2005</v>
      </c>
      <c r="E94" s="8" t="s">
        <v>222</v>
      </c>
      <c r="F94" s="6" t="s">
        <v>366</v>
      </c>
    </row>
    <row r="95" spans="1:6" ht="24.6" customHeight="1" x14ac:dyDescent="0.2">
      <c r="A95" s="5" t="str">
        <f>HYPERLINK("https://www.amazon.com/aha-two-collection-Insight-Spectrum/dp/0883855518", "Aha! Gotcha Aha! Insight: Aha! A Two Volume Collection")</f>
        <v>Aha! Gotcha Aha! Insight: Aha! A Two Volume Collection</v>
      </c>
      <c r="B95" s="6" t="s">
        <v>20</v>
      </c>
      <c r="C95" s="6" t="s">
        <v>240</v>
      </c>
      <c r="D95" s="7">
        <v>2006</v>
      </c>
      <c r="E95" s="8" t="s">
        <v>222</v>
      </c>
      <c r="F95" s="6" t="s">
        <v>258</v>
      </c>
    </row>
    <row r="96" spans="1:6" ht="66.599999999999994" customHeight="1" x14ac:dyDescent="0.2">
      <c r="A96" s="5" t="str">
        <f>HYPERLINK("https://www.amazon.com/Hexaflexagons-Probability-Paradoxes-Tower-Hanoi/dp/0521735254", "Hexaflexagons, Probability Paradoxes, and the Tower of Hanoi")</f>
        <v>Hexaflexagons, Probability Paradoxes, and the Tower of Hanoi</v>
      </c>
      <c r="B96" s="6" t="s">
        <v>20</v>
      </c>
      <c r="C96" s="6" t="s">
        <v>238</v>
      </c>
      <c r="D96" s="7">
        <v>2008</v>
      </c>
      <c r="E96" s="8" t="s">
        <v>222</v>
      </c>
      <c r="F96" s="6" t="s">
        <v>358</v>
      </c>
    </row>
    <row r="97" spans="1:6" ht="75" customHeight="1" x14ac:dyDescent="0.2">
      <c r="A97" s="5" t="str">
        <f>HYPERLINK("https://www.amazon.com/Origami-Eleusis-Soma-Cube-Mathematical/dp/0521735246", "Origami, Eleusis, and the Soma Cube")</f>
        <v>Origami, Eleusis, and the Soma Cube</v>
      </c>
      <c r="B97" s="6" t="s">
        <v>20</v>
      </c>
      <c r="C97" s="6" t="s">
        <v>238</v>
      </c>
      <c r="D97" s="7">
        <v>2008</v>
      </c>
      <c r="E97" s="8" t="s">
        <v>222</v>
      </c>
      <c r="F97" s="6" t="s">
        <v>359</v>
      </c>
    </row>
    <row r="98" spans="1:6" ht="75" customHeight="1" x14ac:dyDescent="0.2">
      <c r="A98" s="5" t="str">
        <f>HYPERLINK("https://www.amazon.com/Packing-Carroll-Reversi-Gardner-Mathematical/dp/0521747015", "Sphere Packing, Lewis Carroll, and Reversi")</f>
        <v>Sphere Packing, Lewis Carroll, and Reversi</v>
      </c>
      <c r="B98" s="6" t="s">
        <v>20</v>
      </c>
      <c r="C98" s="6" t="s">
        <v>239</v>
      </c>
      <c r="D98" s="7">
        <v>2009</v>
      </c>
      <c r="E98" s="8" t="s">
        <v>222</v>
      </c>
      <c r="F98" s="6" t="s">
        <v>360</v>
      </c>
    </row>
    <row r="99" spans="1:6" ht="72" customHeight="1" x14ac:dyDescent="0.2">
      <c r="A99" s="5" t="str">
        <f>HYPERLINK("https://www.amazon.com/Knots-Borromean-Rings-Rep-Tiles-Queens/dp/0521758718", "Knots and Borromean Rings, Rep-Tiles, and Eight Queens")</f>
        <v>Knots and Borromean Rings, Rep-Tiles, and Eight Queens</v>
      </c>
      <c r="B99" s="6" t="s">
        <v>20</v>
      </c>
      <c r="C99" s="6" t="s">
        <v>239</v>
      </c>
      <c r="D99" s="7">
        <v>2015</v>
      </c>
      <c r="E99" s="8" t="s">
        <v>223</v>
      </c>
      <c r="F99" s="6" t="s">
        <v>361</v>
      </c>
    </row>
    <row r="100" spans="1:6" ht="24.6" customHeight="1" x14ac:dyDescent="0.2">
      <c r="A100" s="5" t="str">
        <f>HYPERLINK("https://www.amazon.com/Mathematical-Sciences-Collection-Essays/dp/B002EESPXE", "The Mathematical Sciences: A Collection of Essays")</f>
        <v>The Mathematical Sciences: A Collection of Essays</v>
      </c>
      <c r="B100" s="6" t="s">
        <v>202</v>
      </c>
      <c r="C100" s="6" t="s">
        <v>35</v>
      </c>
      <c r="D100" s="7">
        <v>1969</v>
      </c>
      <c r="E100" s="8" t="s">
        <v>222</v>
      </c>
      <c r="F100" s="6" t="s">
        <v>317</v>
      </c>
    </row>
    <row r="101" spans="1:6" ht="24.6" customHeight="1" x14ac:dyDescent="0.2">
      <c r="A101" s="5" t="str">
        <f>HYPERLINK("https://www.amazon.com/Geometric-Origami-Robert-Geretschlager/dp/0955547717", "Geometric Origami")</f>
        <v>Geometric Origami</v>
      </c>
      <c r="B101" s="6" t="s">
        <v>332</v>
      </c>
      <c r="C101" s="6" t="s">
        <v>189</v>
      </c>
      <c r="D101" s="7">
        <v>2008</v>
      </c>
      <c r="F101" s="6" t="s">
        <v>261</v>
      </c>
    </row>
    <row r="102" spans="1:6" ht="24.6" customHeight="1" x14ac:dyDescent="0.2">
      <c r="A102" s="5" t="str">
        <f>HYPERLINK("https://www.amazon.com/singular-mathematical-promenade-%C3%89tienne-Ghys/dp/2847889396", "A Singular Mathematical Promenade")</f>
        <v>A Singular Mathematical Promenade</v>
      </c>
      <c r="B102" s="6" t="s">
        <v>325</v>
      </c>
      <c r="C102" s="6" t="s">
        <v>220</v>
      </c>
      <c r="D102" s="7">
        <v>2017</v>
      </c>
      <c r="E102" s="8" t="s">
        <v>222</v>
      </c>
      <c r="F102" s="6" t="s">
        <v>249</v>
      </c>
    </row>
    <row r="103" spans="1:6" ht="24.6" customHeight="1" x14ac:dyDescent="0.2">
      <c r="A103" s="5" t="str">
        <f>HYPERLINK("https://www.amazon.com/Reckoning-Risk-Learning-Live-Uncertainty/dp/0140297863", "Reckoning with Risk: Learning to Live With Uncertainty")</f>
        <v>Reckoning with Risk: Learning to Live With Uncertainty</v>
      </c>
      <c r="B103" s="6" t="s">
        <v>422</v>
      </c>
      <c r="C103" s="13" t="s">
        <v>421</v>
      </c>
      <c r="D103" s="7">
        <v>2003</v>
      </c>
      <c r="F103" s="6" t="s">
        <v>371</v>
      </c>
    </row>
    <row r="104" spans="1:6" ht="30" customHeight="1" x14ac:dyDescent="0.2">
      <c r="A104" s="5" t="str">
        <f>HYPERLINK("https://www.amazon.com/Geometry-Applications-Arts-Nature-Technology-ebook/dp/B08R1GN98B", "Geometry and its Applications in Arts, Nature and Technology")</f>
        <v>Geometry and its Applications in Arts, Nature and Technology</v>
      </c>
      <c r="B104" s="6" t="s">
        <v>44</v>
      </c>
      <c r="C104" s="6" t="s">
        <v>12</v>
      </c>
      <c r="D104" s="7">
        <v>2020</v>
      </c>
      <c r="F104" s="6" t="s">
        <v>286</v>
      </c>
    </row>
    <row r="105" spans="1:6" ht="24.6" customHeight="1" x14ac:dyDescent="0.2">
      <c r="A105" s="5" t="str">
        <f>HYPERLINK("https://www.amazon.com/Chaos-Making-Science-James-Gleick/dp/0143113453", "Chaos: Making a New Science")</f>
        <v>Chaos: Making a New Science</v>
      </c>
      <c r="B105" s="6" t="s">
        <v>158</v>
      </c>
      <c r="C105" s="6" t="s">
        <v>57</v>
      </c>
      <c r="D105" s="7">
        <v>1988</v>
      </c>
      <c r="E105" s="8" t="s">
        <v>223</v>
      </c>
      <c r="F105" s="6" t="s">
        <v>317</v>
      </c>
    </row>
    <row r="106" spans="1:6" s="10" customFormat="1" ht="24.6" customHeight="1" x14ac:dyDescent="0.2">
      <c r="A106" s="9" t="str">
        <f>HYPERLINK("https://www.amazon.com/Incompleteness-Proof-Paradox-G%C3%B6del-Discoveries/dp/0393327604", "Incompleteness: The Proof and Paradox of Kurt Gödel")</f>
        <v>Incompleteness: The Proof and Paradox of Kurt Gödel</v>
      </c>
      <c r="B106" s="10" t="s">
        <v>386</v>
      </c>
      <c r="C106" s="10" t="s">
        <v>385</v>
      </c>
      <c r="D106" s="12">
        <v>2006</v>
      </c>
      <c r="E106" s="11"/>
      <c r="F106" s="10" t="s">
        <v>371</v>
      </c>
    </row>
    <row r="107" spans="1:6" ht="24.6" customHeight="1" x14ac:dyDescent="0.2">
      <c r="A107" s="5" t="str">
        <f>HYPERLINK("https://www.amazon.com/Polyominoes-Puzzles-Patterns-Problems-Packings/dp/0691024448", "Polyominoes")</f>
        <v>Polyominoes</v>
      </c>
      <c r="B107" s="6" t="s">
        <v>149</v>
      </c>
      <c r="C107" s="6" t="s">
        <v>208</v>
      </c>
      <c r="D107" s="7">
        <v>1996</v>
      </c>
      <c r="E107" s="8" t="s">
        <v>221</v>
      </c>
      <c r="F107" s="6" t="s">
        <v>258</v>
      </c>
    </row>
    <row r="108" spans="1:6" ht="24.6" customHeight="1" x14ac:dyDescent="0.2">
      <c r="A108" s="5" t="str">
        <f>HYPERLINK("https://www.amazon.com/Applied-Mathematics-Short-Introduction-Introductions/dp/0198754043", "Applied Mathematics: A Very Short Introduction")</f>
        <v>Applied Mathematics: A Very Short Introduction</v>
      </c>
      <c r="B108" s="6" t="s">
        <v>6</v>
      </c>
      <c r="C108" s="6" t="s">
        <v>207</v>
      </c>
      <c r="D108" s="7">
        <v>2018</v>
      </c>
      <c r="F108" s="6" t="s">
        <v>268</v>
      </c>
    </row>
    <row r="109" spans="1:6" ht="24.6" customHeight="1" x14ac:dyDescent="0.2">
      <c r="A109" s="5" t="str">
        <f>HYPERLINK("https://www.amazon.com/Naming-Infinity-Religious-Mathematical-Creativity/dp/0674032934", "Naming Infinity")</f>
        <v>Naming Infinity</v>
      </c>
      <c r="B109" s="6" t="s">
        <v>199</v>
      </c>
      <c r="C109" s="6" t="s">
        <v>200</v>
      </c>
      <c r="D109" s="7">
        <v>2009</v>
      </c>
      <c r="F109" s="6" t="s">
        <v>323</v>
      </c>
    </row>
    <row r="110" spans="1:6" ht="24.6" customHeight="1" x14ac:dyDescent="0.2">
      <c r="A110" s="5" t="str">
        <f>HYPERLINK("https://www.amazon.com/Perfect-Shape-Spiral-Stories-ebook/dp/B01MSTYHLY", "The Perfect Shape: Spiral Stories")</f>
        <v>The Perfect Shape: Spiral Stories</v>
      </c>
      <c r="B110" s="6" t="s">
        <v>326</v>
      </c>
      <c r="C110" s="6" t="s">
        <v>12</v>
      </c>
      <c r="D110" s="7">
        <v>2017</v>
      </c>
      <c r="F110" s="6" t="s">
        <v>300</v>
      </c>
    </row>
    <row r="111" spans="1:6" ht="24.6" customHeight="1" x14ac:dyDescent="0.2">
      <c r="A111" s="5" t="str">
        <f>HYPERLINK("https://www.amazon.com/Mathematicians-Apology-G-H-Hardy/dp/1684221854", "A Mathematician's Apology")</f>
        <v>A Mathematician's Apology</v>
      </c>
      <c r="B111" s="6" t="s">
        <v>80</v>
      </c>
      <c r="C111" s="6" t="s">
        <v>210</v>
      </c>
      <c r="D111" s="7">
        <v>1992</v>
      </c>
      <c r="E111" s="8" t="s">
        <v>223</v>
      </c>
      <c r="F111" s="6" t="s">
        <v>301</v>
      </c>
    </row>
    <row r="112" spans="1:6" ht="24.6" customHeight="1" x14ac:dyDescent="0.2">
      <c r="A112" s="5" t="str">
        <f>HYPERLINK("https://www.amazon.com/Careers-Mathematics-Classroom-Resource-Materials/dp/1470450852", "101 Careers in Mathematics")</f>
        <v>101 Careers in Mathematics</v>
      </c>
      <c r="B112" s="6" t="s">
        <v>342</v>
      </c>
      <c r="C112" s="6" t="s">
        <v>82</v>
      </c>
      <c r="D112" s="7">
        <v>2019</v>
      </c>
      <c r="E112" s="8" t="s">
        <v>222</v>
      </c>
    </row>
    <row r="113" spans="1:6" ht="24.6" customHeight="1" x14ac:dyDescent="0.2">
      <c r="A113" s="5" t="str">
        <f>HYPERLINK("https://www.amazon.com/Nonplussed-Mathematical-Proof-Implausible-Ideas-ebook/dp/B0046A9M7C", "Nonplussed! Mathematical Proof of Implausible Ideas")</f>
        <v>Nonplussed! Mathematical Proof of Implausible Ideas</v>
      </c>
      <c r="B113" s="6" t="s">
        <v>132</v>
      </c>
      <c r="C113" s="6" t="s">
        <v>208</v>
      </c>
      <c r="D113" s="7">
        <v>2007</v>
      </c>
      <c r="F113" s="6" t="s">
        <v>313</v>
      </c>
    </row>
    <row r="114" spans="1:6" ht="24.6" customHeight="1" x14ac:dyDescent="0.2">
      <c r="A114" s="5" t="str">
        <f>HYPERLINK("https://www.amazon.com/Irrationals-Story-Numbers-Cant-Count/dp/0691163537", "The Irrationals: A Story of the Numbers You Can't Count On")</f>
        <v>The Irrationals: A Story of the Numbers You Can't Count On</v>
      </c>
      <c r="B114" s="6" t="s">
        <v>132</v>
      </c>
      <c r="C114" s="6" t="s">
        <v>208</v>
      </c>
      <c r="D114" s="7">
        <v>2012</v>
      </c>
      <c r="F114" s="6" t="s">
        <v>308</v>
      </c>
    </row>
    <row r="115" spans="1:6" s="10" customFormat="1" ht="32.450000000000003" customHeight="1" x14ac:dyDescent="0.2">
      <c r="A115" s="9" t="str">
        <f>HYPERLINK("https://www.amazon.com/God-Created-Integers-Mathematical-Breakthroughs/dp/0762419229", "God Created the Integers: The Mathematical Breakthroughs That Changed History")</f>
        <v>God Created the Integers: The Mathematical Breakthroughs That Changed History</v>
      </c>
      <c r="B115" s="10" t="s">
        <v>388</v>
      </c>
      <c r="C115" s="10" t="s">
        <v>387</v>
      </c>
      <c r="D115" s="12">
        <v>2005</v>
      </c>
      <c r="E115" s="11"/>
      <c r="F115" s="10" t="s">
        <v>371</v>
      </c>
    </row>
    <row r="116" spans="1:6" ht="24.6" customHeight="1" x14ac:dyDescent="0.2">
      <c r="A116" s="5" t="str">
        <f>HYPERLINK("https://www.amazon.com/Foolproof-Other-Mathematical-Meditations-Press/dp/026203686X", "Foolproof, and Other Mathematical Meditations")</f>
        <v>Foolproof, and Other Mathematical Meditations</v>
      </c>
      <c r="B116" s="6" t="s">
        <v>96</v>
      </c>
      <c r="C116" s="6" t="s">
        <v>35</v>
      </c>
      <c r="D116" s="7">
        <v>2017</v>
      </c>
    </row>
    <row r="117" spans="1:6" ht="24.6" customHeight="1" x14ac:dyDescent="0.2">
      <c r="A117" s="5" t="str">
        <f>HYPERLINK("https://www.amazon.com/Hex-Ryan-B-Hayward/dp/0367144220", "Hex: The Full Story")</f>
        <v>Hex: The Full Story</v>
      </c>
      <c r="B117" s="6" t="s">
        <v>144</v>
      </c>
      <c r="C117" s="6" t="s">
        <v>145</v>
      </c>
      <c r="D117" s="7">
        <v>2019</v>
      </c>
      <c r="F117" s="6" t="s">
        <v>258</v>
      </c>
    </row>
    <row r="118" spans="1:6" ht="24.6" customHeight="1" x14ac:dyDescent="0.2">
      <c r="A118" s="5" t="str">
        <f>HYPERLINK("https://www.amazon.com/Martin-Gardner-Twenty-First-Century-Problem/dp/0883859130", "Martin Gardner in the Twenty-First Century")</f>
        <v>Martin Gardner in the Twenty-First Century</v>
      </c>
      <c r="B118" s="6" t="s">
        <v>343</v>
      </c>
      <c r="C118" s="6" t="s">
        <v>240</v>
      </c>
      <c r="D118" s="7">
        <v>2013</v>
      </c>
      <c r="F118" s="6" t="s">
        <v>258</v>
      </c>
    </row>
    <row r="119" spans="1:6" ht="24.6" customHeight="1" x14ac:dyDescent="0.2">
      <c r="A119" s="5" t="str">
        <f>HYPERLINK("https://www.amazon.com/Beauty-Everyday-Mathematics-Norbert-Herrmann-ebook/dp/B00DGEQUQK", "The Beauty of Everyday Mathematics")</f>
        <v>The Beauty of Everyday Mathematics</v>
      </c>
      <c r="B119" s="6" t="s">
        <v>152</v>
      </c>
      <c r="C119" s="6" t="s">
        <v>12</v>
      </c>
      <c r="D119" s="7">
        <v>2012</v>
      </c>
      <c r="F119" s="6" t="s">
        <v>258</v>
      </c>
    </row>
    <row r="120" spans="1:6" s="10" customFormat="1" ht="24.6" customHeight="1" x14ac:dyDescent="0.2">
      <c r="A120" s="9" t="str">
        <f>HYPERLINK("https://www.amazon.com/What-Mathematics-Really-Reuben-Hersh/dp/0195130871", "What is Mathematics Really?")</f>
        <v>What is Mathematics Really?</v>
      </c>
      <c r="B120" s="10" t="s">
        <v>389</v>
      </c>
      <c r="C120" s="10" t="s">
        <v>370</v>
      </c>
      <c r="D120" s="12">
        <v>1999</v>
      </c>
      <c r="E120" s="11"/>
      <c r="F120" s="10" t="s">
        <v>371</v>
      </c>
    </row>
    <row r="121" spans="1:6" ht="24.6" customHeight="1" x14ac:dyDescent="0.2">
      <c r="A121" s="5" t="str">
        <f>HYPERLINK("https://www.amazon.com/Algebra-Very-Short-Introduction-Introductions-ebook/dp/B0141CMYD8", "Algebra: A Very Short Introduction")</f>
        <v>Algebra: A Very Short Introduction</v>
      </c>
      <c r="B121" s="6" t="s">
        <v>0</v>
      </c>
      <c r="C121" s="6" t="s">
        <v>207</v>
      </c>
      <c r="D121" s="7">
        <v>2015</v>
      </c>
      <c r="F121" s="6" t="s">
        <v>265</v>
      </c>
    </row>
    <row r="122" spans="1:6" ht="24.6" customHeight="1" x14ac:dyDescent="0.2">
      <c r="A122" s="5" t="str">
        <f>HYPERLINK("https://www.amazon.com/Princeton-Companion-Applied-Mathematics-ebook/dp/B013ET08FA", "The Princeton Companion to Applied Mathematics")</f>
        <v>The Princeton Companion to Applied Mathematics</v>
      </c>
      <c r="B122" s="6" t="s">
        <v>345</v>
      </c>
      <c r="C122" s="6" t="s">
        <v>208</v>
      </c>
      <c r="D122" s="7">
        <v>2015</v>
      </c>
      <c r="E122" s="8" t="s">
        <v>221</v>
      </c>
      <c r="F122" s="6" t="s">
        <v>248</v>
      </c>
    </row>
    <row r="123" spans="1:6" ht="24.6" customHeight="1" x14ac:dyDescent="0.2">
      <c r="A123" s="5" t="str">
        <f>HYPERLINK("https://www.amazon.com/Geometry-Imagination-Ams-Chelsea-Publishing/dp/1470463024", "Geometry and the Imagination")</f>
        <v>Geometry and the Imagination</v>
      </c>
      <c r="B123" s="6" t="s">
        <v>45</v>
      </c>
      <c r="C123" s="6" t="s">
        <v>243</v>
      </c>
      <c r="D123" s="7">
        <v>1999</v>
      </c>
      <c r="E123" s="8" t="s">
        <v>223</v>
      </c>
      <c r="F123" s="6" t="s">
        <v>286</v>
      </c>
    </row>
    <row r="124" spans="1:6" ht="24.6" customHeight="1" x14ac:dyDescent="0.2">
      <c r="A124" s="5" t="str">
        <f>HYPERLINK("https://www.amazon.com/Tower-Hanoi-Myths-Maths/dp/3034807694", "The Tower of Hanoi - Myths and Maths")</f>
        <v>The Tower of Hanoi - Myths and Maths</v>
      </c>
      <c r="B124" s="6" t="s">
        <v>356</v>
      </c>
      <c r="C124" s="6" t="s">
        <v>333</v>
      </c>
      <c r="D124" s="7">
        <v>2013</v>
      </c>
      <c r="F124" s="6" t="s">
        <v>250</v>
      </c>
    </row>
    <row r="125" spans="1:6" s="10" customFormat="1" ht="24.6" customHeight="1" x14ac:dyDescent="0.2">
      <c r="A125" s="9" t="str">
        <f>HYPERLINK("https://www.amazon.com/Archimedes-Revenge-Joys-Perils-Mathematics/dp/0393025225", "Archimedes' Revenge: The Joys and Perils of Mathematics")</f>
        <v>Archimedes' Revenge: The Joys and Perils of Mathematics</v>
      </c>
      <c r="B125" s="10" t="s">
        <v>16</v>
      </c>
      <c r="C125" s="10" t="s">
        <v>385</v>
      </c>
      <c r="D125" s="12">
        <v>1988</v>
      </c>
      <c r="E125" s="11"/>
      <c r="F125" s="10" t="s">
        <v>371</v>
      </c>
    </row>
    <row r="126" spans="1:6" ht="24.6" customHeight="1" x14ac:dyDescent="0.2">
      <c r="A126" s="5" t="str">
        <f>HYPERLINK("https://www.amazon.com/Man-Who-Loved-Only-Numbers/dp/0786884061", "The Man Who Loved Only Numbers")</f>
        <v>The Man Who Loved Only Numbers</v>
      </c>
      <c r="B126" s="6" t="s">
        <v>16</v>
      </c>
      <c r="C126" s="6" t="s">
        <v>17</v>
      </c>
      <c r="D126" s="7">
        <v>1998</v>
      </c>
      <c r="E126" s="8" t="s">
        <v>221</v>
      </c>
      <c r="F126" s="6" t="s">
        <v>272</v>
      </c>
    </row>
    <row r="127" spans="1:6" ht="24.6" customHeight="1" x14ac:dyDescent="0.2">
      <c r="A127" s="5" t="str">
        <f>HYPERLINK("https://www.amazon.com/G%C3%B6del-Escher-Bach-Eternal-Golden/dp/0465026567", "Gödel, Escher, Bach: An Eternal Golden Braid")</f>
        <v>Gödel, Escher, Bach: An Eternal Golden Braid</v>
      </c>
      <c r="B127" s="6" t="s">
        <v>195</v>
      </c>
      <c r="C127" s="6" t="s">
        <v>2</v>
      </c>
      <c r="D127" s="7">
        <v>1999</v>
      </c>
      <c r="E127" s="8" t="s">
        <v>223</v>
      </c>
      <c r="F127" s="6" t="s">
        <v>237</v>
      </c>
    </row>
    <row r="128" spans="1:6" ht="24.6" customHeight="1" x14ac:dyDescent="0.2">
      <c r="A128" s="5" t="str">
        <f>HYPERLINK("https://www.amazon.com/Shapes-Space-Symmetry-Dover-Mathematics/dp/0486268519", "Shapes, Space, and Symmetry")</f>
        <v>Shapes, Space, and Symmetry</v>
      </c>
      <c r="B128" s="6" t="s">
        <v>37</v>
      </c>
      <c r="C128" s="6" t="s">
        <v>242</v>
      </c>
      <c r="D128" s="7">
        <v>2015</v>
      </c>
      <c r="E128" s="8" t="s">
        <v>222</v>
      </c>
      <c r="F128" s="6" t="s">
        <v>227</v>
      </c>
    </row>
    <row r="129" spans="1:6" s="10" customFormat="1" ht="24.6" customHeight="1" x14ac:dyDescent="0.2">
      <c r="A129" s="9" t="str">
        <f>HYPERLINK("https://www.amazon.com/What-Are-Chances-Adventures-Probability/dp/0801869412", "What are the Chances?: Voodoo Deaths, Office Gossip, and Other Adventures in Probability")</f>
        <v>What are the Chances?: Voodoo Deaths, Office Gossip, and Other Adventures in Probability</v>
      </c>
      <c r="B129" s="10" t="s">
        <v>391</v>
      </c>
      <c r="C129" s="10" t="s">
        <v>390</v>
      </c>
      <c r="D129" s="12">
        <v>2002</v>
      </c>
      <c r="E129" s="11"/>
      <c r="F129" s="10" t="s">
        <v>371</v>
      </c>
    </row>
    <row r="130" spans="1:6" ht="24.6" customHeight="1" x14ac:dyDescent="0.2">
      <c r="A130" s="5" t="str">
        <f>HYPERLINK("https://www.amazon.com/More-Mathematical-Morsels-Dolciani-Expositions/dp/0883853140", "More Mathematical Morsels")</f>
        <v>More Mathematical Morsels</v>
      </c>
      <c r="B130" s="6" t="s">
        <v>135</v>
      </c>
      <c r="C130" s="6" t="s">
        <v>240</v>
      </c>
      <c r="D130" s="7">
        <v>1991</v>
      </c>
      <c r="F130" s="6" t="s">
        <v>311</v>
      </c>
    </row>
    <row r="131" spans="1:6" ht="24.6" customHeight="1" x14ac:dyDescent="0.2">
      <c r="A131" s="5" t="str">
        <f>HYPERLINK("https://www.amazon.com/Sliding-Piece-Puzzles-Recreations-Mathematics/dp/0198532040", "Sliding Piece Puzzles")</f>
        <v>Sliding Piece Puzzles</v>
      </c>
      <c r="B131" s="6" t="s">
        <v>194</v>
      </c>
      <c r="C131" s="6" t="s">
        <v>207</v>
      </c>
      <c r="D131" s="7">
        <v>1987</v>
      </c>
      <c r="E131" s="8" t="s">
        <v>221</v>
      </c>
      <c r="F131" s="6" t="s">
        <v>262</v>
      </c>
    </row>
    <row r="132" spans="1:6" ht="24.6" customHeight="1" x14ac:dyDescent="0.2">
      <c r="A132" s="5" t="str">
        <f>HYPERLINK("https://www.amazon.com/Popularization-Mathematics-ICMI-Studies/dp/0521403197", "The Popularization of Mathematics")</f>
        <v>The Popularization of Mathematics</v>
      </c>
      <c r="B132" s="6" t="s">
        <v>350</v>
      </c>
      <c r="C132" s="6" t="s">
        <v>210</v>
      </c>
      <c r="D132" s="7">
        <v>1990</v>
      </c>
      <c r="E132" s="8" t="s">
        <v>222</v>
      </c>
    </row>
    <row r="133" spans="1:6" s="10" customFormat="1" ht="24.6" customHeight="1" x14ac:dyDescent="0.2">
      <c r="A133" s="9" t="str">
        <f>HYPERLINK("https://www.amazon.com/How-Lie-Statistics-Darrell-Huff/dp/0393310728", "How to Lie with Statistics")</f>
        <v>How to Lie with Statistics</v>
      </c>
      <c r="B133" s="10" t="s">
        <v>392</v>
      </c>
      <c r="C133" s="10" t="s">
        <v>385</v>
      </c>
      <c r="D133" s="12">
        <v>1993</v>
      </c>
      <c r="E133" s="11"/>
      <c r="F133" s="10" t="s">
        <v>315</v>
      </c>
    </row>
    <row r="134" spans="1:6" ht="24.6" customHeight="1" x14ac:dyDescent="0.2">
      <c r="A134" s="5" t="str">
        <f>HYPERLINK("https://www.amazon.com/Divine-Proportion-Mathematical-Beauty-Mathematics/dp/0486222543", "The Divine Proportion")</f>
        <v>The Divine Proportion</v>
      </c>
      <c r="B134" s="6" t="s">
        <v>115</v>
      </c>
      <c r="C134" s="6" t="s">
        <v>242</v>
      </c>
      <c r="D134" s="7">
        <v>2015</v>
      </c>
    </row>
    <row r="135" spans="1:6" ht="33" customHeight="1" x14ac:dyDescent="0.2">
      <c r="A135" s="5" t="str">
        <f>HYPERLINK("https://www.amazon.com/Universal-History-Numbers-Prehistory-Invention/dp/0471375683", "The Universal History of Numbers: From Prehistory to the Invention of the Computer")</f>
        <v>The Universal History of Numbers: From Prehistory to the Invention of the Computer</v>
      </c>
      <c r="B135" s="6" t="s">
        <v>424</v>
      </c>
      <c r="C135" s="13" t="s">
        <v>423</v>
      </c>
      <c r="D135" s="7">
        <v>2000</v>
      </c>
      <c r="F135" s="6" t="s">
        <v>371</v>
      </c>
    </row>
    <row r="136" spans="1:6" ht="24.6" customHeight="1" x14ac:dyDescent="0.2">
      <c r="A136" s="5" t="str">
        <f>HYPERLINK("https://www.amazon.com/Mathematics-Endeavor-Harold-R-Jacobs/dp/071672426X", "Mathematics: A Human Endeavor")</f>
        <v>Mathematics: A Human Endeavor</v>
      </c>
      <c r="B136" s="6" t="s">
        <v>102</v>
      </c>
      <c r="C136" s="6" t="s">
        <v>103</v>
      </c>
      <c r="D136" s="7">
        <v>1994</v>
      </c>
      <c r="E136" s="8" t="s">
        <v>222</v>
      </c>
    </row>
    <row r="137" spans="1:6" ht="33.75" customHeight="1" x14ac:dyDescent="0.2">
      <c r="A137" s="5" t="str">
        <f>HYPERLINK("https://www.amazon.com/Adventures-Group-Theory-Merlins-Mathematical/dp/0801890136", "Adventures in Group Theory: Rubik's Cube, Merlin's Machine and Other Mathematical Toys")</f>
        <v>Adventures in Group Theory: Rubik's Cube, Merlin's Machine and Other Mathematical Toys</v>
      </c>
      <c r="B137" s="6" t="s">
        <v>51</v>
      </c>
      <c r="C137" s="6" t="s">
        <v>52</v>
      </c>
      <c r="D137" s="7">
        <v>2008</v>
      </c>
      <c r="F137" s="6" t="s">
        <v>255</v>
      </c>
    </row>
    <row r="138" spans="1:6" ht="24.6" customHeight="1" x14ac:dyDescent="0.2">
      <c r="A138" s="5" t="str">
        <f>HYPERLINK("https://www.amazon.com/Mathematics-Planet-Earth-Mathematicians-Discover/dp/1611973708", "Mathematics of Planet Earth")</f>
        <v>Mathematics of Planet Earth</v>
      </c>
      <c r="B138" s="6" t="s">
        <v>75</v>
      </c>
      <c r="C138" s="6" t="s">
        <v>76</v>
      </c>
      <c r="D138" s="7">
        <v>2015</v>
      </c>
      <c r="F138" s="6" t="s">
        <v>296</v>
      </c>
    </row>
    <row r="139" spans="1:6" ht="24.6" customHeight="1" x14ac:dyDescent="0.2">
      <c r="A139" s="5" t="str">
        <f>HYPERLINK("https://www.amazon.com/Out-Labyrinth-Setting-Mathematics-Free/dp/1608198707", "Out of the Labyrinth: Setting Mathematics Free")</f>
        <v>Out of the Labyrinth: Setting Mathematics Free</v>
      </c>
      <c r="B139" s="6" t="s">
        <v>54</v>
      </c>
      <c r="C139" s="6" t="s">
        <v>207</v>
      </c>
      <c r="D139" s="7">
        <v>2007</v>
      </c>
      <c r="F139" s="6" t="s">
        <v>318</v>
      </c>
    </row>
    <row r="140" spans="1:6" ht="33" customHeight="1" x14ac:dyDescent="0.2">
      <c r="A140" s="5" t="str">
        <f>HYPERLINK("https://www.amazon.com/Hidden-Harmonies-Lives-Pythagorean-Theorem/dp/1608193985", "Hidden Harmonies: The Lives and Times of the Pythagorean Theorem")</f>
        <v>Hidden Harmonies: The Lives and Times of the Pythagorean Theorem</v>
      </c>
      <c r="B140" s="6" t="s">
        <v>54</v>
      </c>
      <c r="C140" s="6" t="s">
        <v>55</v>
      </c>
      <c r="D140" s="7">
        <v>2011</v>
      </c>
      <c r="E140" s="8" t="s">
        <v>222</v>
      </c>
      <c r="F140" s="6" t="s">
        <v>290</v>
      </c>
    </row>
    <row r="141" spans="1:6" ht="32.450000000000003" customHeight="1" x14ac:dyDescent="0.2">
      <c r="A141" s="5" t="str">
        <f>HYPERLINK("https://www.amazon.com/Connections-Geometric-Bridge-Between-Science/dp/9810245858", "Connections: The Geometric Bridge Between Art and Science")</f>
        <v>Connections: The Geometric Bridge Between Art and Science</v>
      </c>
      <c r="B141" s="6" t="s">
        <v>159</v>
      </c>
      <c r="C141" s="6" t="s">
        <v>160</v>
      </c>
      <c r="D141" s="7">
        <v>2001</v>
      </c>
      <c r="E141" s="8" t="s">
        <v>221</v>
      </c>
      <c r="F141" s="6" t="s">
        <v>317</v>
      </c>
    </row>
    <row r="142" spans="1:6" ht="24.6" customHeight="1" x14ac:dyDescent="0.2">
      <c r="A142" s="5" t="str">
        <f>HYPERLINK("https://www.amazon.com/Mathematical-Gardner-David-Klarner/dp/0442253362", "Mathematical Gardner")</f>
        <v>Mathematical Gardner</v>
      </c>
      <c r="B142" s="6" t="s">
        <v>180</v>
      </c>
      <c r="C142" s="6" t="s">
        <v>91</v>
      </c>
      <c r="D142" s="7">
        <v>1982</v>
      </c>
      <c r="E142" s="8" t="s">
        <v>223</v>
      </c>
      <c r="F142" s="6" t="s">
        <v>258</v>
      </c>
    </row>
    <row r="143" spans="1:6" ht="24.6" customHeight="1" x14ac:dyDescent="0.2">
      <c r="A143" s="5" t="str">
        <f>HYPERLINK("https://www.amazon.com/Mathematics-Loss-Certainty-Galaxy-Books/dp/0195030850", "Mathematics: The Loss of Certainty")</f>
        <v>Mathematics: The Loss of Certainty</v>
      </c>
      <c r="B143" s="6" t="s">
        <v>164</v>
      </c>
      <c r="C143" s="6" t="s">
        <v>207</v>
      </c>
      <c r="D143" s="7">
        <v>1982</v>
      </c>
      <c r="E143" s="8" t="s">
        <v>222</v>
      </c>
      <c r="F143" s="6" t="s">
        <v>317</v>
      </c>
    </row>
    <row r="144" spans="1:6" ht="24.6" customHeight="1" x14ac:dyDescent="0.2">
      <c r="A144" s="5" t="str">
        <f>HYPERLINK("https://www.amazon.com/Mathematics-Search-Knowledge-Morris-Kline/dp/019503533X", "Mathematics and the Search for Knowledge")</f>
        <v>Mathematics and the Search for Knowledge</v>
      </c>
      <c r="B144" s="6" t="s">
        <v>164</v>
      </c>
      <c r="C144" s="6" t="s">
        <v>217</v>
      </c>
      <c r="D144" s="7">
        <v>1986</v>
      </c>
      <c r="E144" s="8" t="s">
        <v>222</v>
      </c>
      <c r="F144" s="6" t="s">
        <v>317</v>
      </c>
    </row>
    <row r="145" spans="1:6" ht="24.6" customHeight="1" x14ac:dyDescent="0.2">
      <c r="A145" s="5" t="str">
        <f>HYPERLINK("https://www.amazon.com/Surreal-Numbers-Donald-Knuth/dp/0201038129", "Surreal Numbers")</f>
        <v>Surreal Numbers</v>
      </c>
      <c r="B145" s="6" t="s">
        <v>21</v>
      </c>
      <c r="C145" s="6" t="s">
        <v>38</v>
      </c>
      <c r="D145" s="7">
        <v>1974</v>
      </c>
      <c r="E145" s="8" t="s">
        <v>222</v>
      </c>
      <c r="F145" s="6" t="s">
        <v>282</v>
      </c>
    </row>
    <row r="146" spans="1:6" ht="24.6" customHeight="1" x14ac:dyDescent="0.2">
      <c r="A146" s="5" t="str">
        <f>HYPERLINK("https://www.amazon.com/Selected-Papers-Games-Lecture-Notes/dp/157586584X", "Selected Papers on Fun and Games")</f>
        <v>Selected Papers on Fun and Games</v>
      </c>
      <c r="B146" s="6" t="s">
        <v>21</v>
      </c>
      <c r="C146" s="6" t="s">
        <v>334</v>
      </c>
      <c r="D146" s="7">
        <v>2011</v>
      </c>
      <c r="E146" s="8" t="s">
        <v>222</v>
      </c>
      <c r="F146" s="6" t="s">
        <v>250</v>
      </c>
    </row>
    <row r="147" spans="1:6" ht="24.6" customHeight="1" x14ac:dyDescent="0.2">
      <c r="A147" s="5" t="str">
        <f>HYPERLINK("https://www.amazon.com/Moscow-Puzzles-Mathematical-Recreations-Recreational/dp/0486270785", "The Moscow Puzzles: 359 Mathematical Recreations")</f>
        <v>The Moscow Puzzles: 359 Mathematical Recreations</v>
      </c>
      <c r="B147" s="6" t="s">
        <v>139</v>
      </c>
      <c r="C147" s="6" t="s">
        <v>242</v>
      </c>
      <c r="D147" s="7">
        <v>1992</v>
      </c>
      <c r="F147" s="6" t="s">
        <v>312</v>
      </c>
    </row>
    <row r="148" spans="1:6" ht="24.6" customHeight="1" x14ac:dyDescent="0.2">
      <c r="A148" s="5" t="str">
        <f>HYPERLINK("https://www.amazon.com/Mathematical-Recreations-Second-Revised-Recreational/dp/0486453588", "Mathematical Recreations")</f>
        <v>Mathematical Recreations</v>
      </c>
      <c r="B148" s="6" t="s">
        <v>181</v>
      </c>
      <c r="C148" s="6" t="s">
        <v>242</v>
      </c>
      <c r="D148" s="7">
        <v>2006</v>
      </c>
      <c r="F148" s="6" t="s">
        <v>258</v>
      </c>
    </row>
    <row r="149" spans="1:6" ht="32.450000000000003" customHeight="1" x14ac:dyDescent="0.2">
      <c r="A149" s="5" t="str">
        <f>HYPERLINK("https://www.amazon.com/Power-Up-Unlocking-Hidden-Mathematics-Video/dp/0691161518", "Power-Up: Unlocking the Hidden Mathematics in Video Games")</f>
        <v>Power-Up: Unlocking the Hidden Mathematics in Video Games</v>
      </c>
      <c r="B149" s="6" t="s">
        <v>108</v>
      </c>
      <c r="C149" s="6" t="s">
        <v>208</v>
      </c>
      <c r="D149" s="7">
        <v>2017</v>
      </c>
    </row>
    <row r="150" spans="1:6" ht="24.6" customHeight="1" x14ac:dyDescent="0.2">
      <c r="A150" s="5" t="str">
        <f>HYPERLINK("https://www.amazon.com/Beauty-Doing-Mathematics-Public-Dialogues/dp/0387961496", "The Beauty of Doing Mathematics: Three Public Dialogues")</f>
        <v>The Beauty of Doing Mathematics: Three Public Dialogues</v>
      </c>
      <c r="B150" s="6" t="s">
        <v>112</v>
      </c>
      <c r="C150" s="6" t="s">
        <v>113</v>
      </c>
      <c r="D150" s="7">
        <v>1985</v>
      </c>
      <c r="E150" s="8" t="s">
        <v>222</v>
      </c>
    </row>
    <row r="151" spans="1:6" ht="24.6" customHeight="1" x14ac:dyDescent="0.2">
      <c r="A151" s="5" t="str">
        <f>HYPERLINK("https://www.amazon.com/Whos-1-Science-Rating-Ranking-ebook/dp/B0076LOSHC", "Who's #1? — The Science of Rating and Ranking ")</f>
        <v xml:space="preserve">Who's #1? — The Science of Rating and Ranking </v>
      </c>
      <c r="B151" s="6" t="s">
        <v>5</v>
      </c>
      <c r="C151" s="6" t="s">
        <v>208</v>
      </c>
      <c r="D151" s="7">
        <v>2012</v>
      </c>
      <c r="F151" s="6" t="s">
        <v>225</v>
      </c>
    </row>
    <row r="152" spans="1:6" ht="32.450000000000003" customHeight="1" x14ac:dyDescent="0.2">
      <c r="A152" s="5" t="str">
        <f>HYPERLINK("https://www.amazon.com/Great-Currents-Mathematical-Thought-Vol/dp/0486495795", "Great Currents of Mathematical Thought : Mathematics in the Arts and Sciences, Vol. II")</f>
        <v>Great Currents of Mathematical Thought : Mathematics in the Arts and Sciences, Vol. II</v>
      </c>
      <c r="B152" s="6" t="s">
        <v>161</v>
      </c>
      <c r="C152" s="6" t="s">
        <v>242</v>
      </c>
      <c r="D152" s="7">
        <v>2004</v>
      </c>
      <c r="F152" s="6" t="s">
        <v>317</v>
      </c>
    </row>
    <row r="153" spans="1:6" ht="24.6" customHeight="1" x14ac:dyDescent="0.2">
      <c r="A153" s="5" t="str">
        <f>HYPERLINK("https://www.amazon.com/Geometric-Dissections-Harry-Lindgren/dp/0442047967", "Geometric Dissections")</f>
        <v>Geometric Dissections</v>
      </c>
      <c r="B153" s="6" t="s">
        <v>187</v>
      </c>
      <c r="C153" s="6" t="s">
        <v>188</v>
      </c>
      <c r="D153" s="7">
        <v>1964</v>
      </c>
      <c r="E153" s="8" t="s">
        <v>221</v>
      </c>
      <c r="F153" s="6" t="s">
        <v>260</v>
      </c>
    </row>
    <row r="154" spans="1:6" ht="24.6" customHeight="1" x14ac:dyDescent="0.2">
      <c r="A154" s="5" t="str">
        <f>HYPERLINK("https://www.amazon.com/Art-Meets-Mathematics-Fourth-Dimension/dp/3319381040", "Art Meets Mathematics in the Fourth Dimension")</f>
        <v>Art Meets Mathematics in the Fourth Dimension</v>
      </c>
      <c r="B154" s="6" t="s">
        <v>73</v>
      </c>
      <c r="C154" s="6" t="s">
        <v>12</v>
      </c>
      <c r="D154" s="7">
        <v>2014</v>
      </c>
      <c r="F154" s="6" t="s">
        <v>294</v>
      </c>
    </row>
    <row r="155" spans="1:6" ht="24.6" customHeight="1" x14ac:dyDescent="0.2">
      <c r="A155" s="5" t="str">
        <f>HYPERLINK("https://www.amazon.com/Littlewoods-Miscellany-John-Littlewood/dp/052133702X", "Littlewood's Miscellany")</f>
        <v>Littlewood's Miscellany</v>
      </c>
      <c r="B155" s="6" t="s">
        <v>335</v>
      </c>
      <c r="C155" s="6" t="s">
        <v>210</v>
      </c>
      <c r="D155" s="7">
        <v>1986</v>
      </c>
      <c r="E155" s="8" t="s">
        <v>222</v>
      </c>
      <c r="F155" s="6" t="s">
        <v>289</v>
      </c>
    </row>
    <row r="156" spans="1:6" s="10" customFormat="1" ht="24.6" customHeight="1" x14ac:dyDescent="0.2">
      <c r="A156" s="9" t="str">
        <f>HYPERLINK("https://www.amazon.com/Golden-Ratio-Worlds-Astonishing-Number/dp/0767908163", "The Golden Ratio: The Story of Phi, the World's Most Astonishing Number")</f>
        <v>The Golden Ratio: The Story of Phi, the World's Most Astonishing Number</v>
      </c>
      <c r="B156" s="10" t="s">
        <v>393</v>
      </c>
      <c r="C156" s="10" t="s">
        <v>32</v>
      </c>
      <c r="D156" s="12">
        <v>2003</v>
      </c>
      <c r="E156" s="11"/>
      <c r="F156" s="10" t="s">
        <v>371</v>
      </c>
    </row>
    <row r="157" spans="1:6" ht="24.6" customHeight="1" x14ac:dyDescent="0.2">
      <c r="A157" s="5" t="str">
        <f>HYPERLINK("https://www.amazon.com/Measurement-Paul-Lockhart/dp/0674284380", "Measurement")</f>
        <v>Measurement</v>
      </c>
      <c r="B157" s="6" t="s">
        <v>104</v>
      </c>
      <c r="C157" s="6" t="s">
        <v>214</v>
      </c>
      <c r="D157" s="7">
        <v>2012</v>
      </c>
    </row>
    <row r="158" spans="1:6" ht="29.45" customHeight="1" x14ac:dyDescent="0.2">
      <c r="A158" s="5" t="str">
        <f>HYPERLINK("https://www.amazon.com/Cyclopedia-Puzzles-tricks-Conundrums-Answers/dp/0923891781", "Loyd's Cyclopedia of 5000 Puzzles, Tricks, and Conundrums")</f>
        <v>Loyd's Cyclopedia of 5000 Puzzles, Tricks, and Conundrums</v>
      </c>
      <c r="B158" s="6" t="s">
        <v>178</v>
      </c>
      <c r="C158" s="6" t="s">
        <v>179</v>
      </c>
      <c r="D158" s="7">
        <v>2007</v>
      </c>
      <c r="E158" s="8" t="s">
        <v>221</v>
      </c>
      <c r="F158" s="6" t="s">
        <v>258</v>
      </c>
    </row>
    <row r="159" spans="1:6" ht="24.6" customHeight="1" x14ac:dyDescent="0.2">
      <c r="A159" s="5" t="str">
        <f>HYPERLINK("https://www.amazon.com/Nine-Algorithms-That-Changed-Future/dp/0691209065", "Nine Algorithms that Changed the Future")</f>
        <v>Nine Algorithms that Changed the Future</v>
      </c>
      <c r="B159" s="6" t="s">
        <v>4</v>
      </c>
      <c r="C159" s="6" t="s">
        <v>208</v>
      </c>
      <c r="D159" s="7">
        <v>2012</v>
      </c>
      <c r="F159" s="6" t="s">
        <v>267</v>
      </c>
    </row>
    <row r="160" spans="1:6" ht="24.6" customHeight="1" x14ac:dyDescent="0.2">
      <c r="A160" s="9" t="str">
        <f>HYPERLINK("https://www.amazon.com/Whats-Happening-Mathematical-Sciences-Mathermatical/dp/0821887394", "What's Happening in the Mathematical Sciences 9")</f>
        <v>What's Happening in the Mathematical Sciences 9</v>
      </c>
      <c r="B160" s="6" t="s">
        <v>125</v>
      </c>
      <c r="C160" s="6" t="s">
        <v>127</v>
      </c>
      <c r="D160" s="7">
        <v>2013</v>
      </c>
    </row>
    <row r="161" spans="1:6" ht="24.6" customHeight="1" x14ac:dyDescent="0.2">
      <c r="A161" s="5" t="str">
        <f>HYPERLINK("https://www.amazon.com/Whats-Happening-Mathematical-Sciences-Mathermatical/dp/0821887394", "What's Happening in the Mathematical Sciences, Volume 10")</f>
        <v>What's Happening in the Mathematical Sciences, Volume 10</v>
      </c>
      <c r="B161" s="6" t="s">
        <v>126</v>
      </c>
      <c r="C161" s="6" t="s">
        <v>127</v>
      </c>
      <c r="D161" s="7">
        <v>2016</v>
      </c>
    </row>
    <row r="162" spans="1:6" ht="24.6" customHeight="1" x14ac:dyDescent="0.2">
      <c r="A162" s="9" t="str">
        <f>HYPERLINK("https://www.amazon.com/Whats-B129Happening-Mathematical-Sciences-Mathermatical/dp/1470441632", "What's Happening in the Mathematical Sciences, Volume 11")</f>
        <v>What's Happening in the Mathematical Sciences, Volume 11</v>
      </c>
      <c r="B162" s="6" t="s">
        <v>125</v>
      </c>
      <c r="C162" s="6" t="s">
        <v>127</v>
      </c>
      <c r="D162" s="7">
        <v>2019</v>
      </c>
    </row>
    <row r="163" spans="1:6" ht="24.6" customHeight="1" x14ac:dyDescent="0.2">
      <c r="A163" s="9" t="str">
        <f>HYPERLINK("https://www.amazon.com/Street-Fighting-Mathematics-Educated-Guessing-Opportunistic/dp/026251429X", "Street-Fighting Mathematics")</f>
        <v>Street-Fighting Mathematics</v>
      </c>
      <c r="B163" s="6" t="s">
        <v>34</v>
      </c>
      <c r="C163" s="6" t="s">
        <v>35</v>
      </c>
      <c r="D163" s="7">
        <v>2010</v>
      </c>
      <c r="F163" s="6" t="s">
        <v>280</v>
      </c>
    </row>
    <row r="164" spans="1:6" ht="24.6" customHeight="1" x14ac:dyDescent="0.2">
      <c r="A164" s="5" t="str">
        <f>HYPERLINK("https://www.amazon.com/Trigonometric-Delights-Princeton-Science-Library/dp/0691202192", "Trigonometric Delights")</f>
        <v>Trigonometric Delights</v>
      </c>
      <c r="B164" s="6" t="s">
        <v>63</v>
      </c>
      <c r="C164" s="6" t="s">
        <v>208</v>
      </c>
      <c r="D164" s="7">
        <v>1998</v>
      </c>
      <c r="F164" s="6" t="s">
        <v>246</v>
      </c>
    </row>
    <row r="165" spans="1:6" ht="24.6" customHeight="1" x14ac:dyDescent="0.2">
      <c r="A165" s="5" t="str">
        <f>HYPERLINK("https://www.amazon.com/Story-Number-Princeton-Science-Library/dp/0691168482", "e: The Story of a Number")</f>
        <v>e: The Story of a Number</v>
      </c>
      <c r="B165" s="6" t="s">
        <v>63</v>
      </c>
      <c r="C165" s="6" t="s">
        <v>208</v>
      </c>
      <c r="D165" s="7">
        <v>2016</v>
      </c>
      <c r="E165" s="8" t="s">
        <v>222</v>
      </c>
      <c r="F165" s="6" t="s">
        <v>290</v>
      </c>
    </row>
    <row r="166" spans="1:6" ht="24.6" customHeight="1" x14ac:dyDescent="0.2">
      <c r="A166" s="5" t="str">
        <f>HYPERLINK("https://www.amazon.com/Cult-Pythagoras-Math-Myths/dp/0822962705", "The Cult of Pythagoras: Math and Myths")</f>
        <v>The Cult of Pythagoras: Math and Myths</v>
      </c>
      <c r="B166" s="6" t="s">
        <v>349</v>
      </c>
      <c r="C166" s="6" t="s">
        <v>213</v>
      </c>
      <c r="D166" s="7">
        <v>2012</v>
      </c>
      <c r="F166" s="6" t="s">
        <v>291</v>
      </c>
    </row>
    <row r="167" spans="1:6" ht="24.6" customHeight="1" x14ac:dyDescent="0.2">
      <c r="A167" s="5" t="str">
        <f>HYPERLINK("https://www.amazon.com/Fallacies-Mathematics-Maxwell/dp/B000L5QN8C", "Fallacies in Mathematics")</f>
        <v>Fallacies in Mathematics</v>
      </c>
      <c r="B167" s="6" t="s">
        <v>141</v>
      </c>
      <c r="C167" s="6" t="s">
        <v>210</v>
      </c>
      <c r="D167" s="7">
        <v>1959</v>
      </c>
      <c r="E167" s="8" t="s">
        <v>222</v>
      </c>
      <c r="F167" s="6" t="s">
        <v>258</v>
      </c>
    </row>
    <row r="168" spans="1:6" ht="33.6" customHeight="1" x14ac:dyDescent="0.2">
      <c r="A168" s="5" t="str">
        <f>HYPERLINK("https://www.amazon.com/Imagining-Numbers-particularly-square-fifteen/dp/0312421877", "Imagining Numbers (particularly the square root of minus fifteen)")</f>
        <v>Imagining Numbers (particularly the square root of minus fifteen)</v>
      </c>
      <c r="B168" s="6" t="s">
        <v>97</v>
      </c>
      <c r="C168" s="6" t="s">
        <v>74</v>
      </c>
      <c r="D168" s="7">
        <v>2002</v>
      </c>
      <c r="E168" s="8" t="s">
        <v>221</v>
      </c>
    </row>
    <row r="169" spans="1:6" ht="24.6" customHeight="1" x14ac:dyDescent="0.2">
      <c r="A169" s="5" t="str">
        <f>HYPERLINK("https://www.amazon.com/Prime-Numbers-Riemann-Hypothesis-Barry/dp/1107499437", "Prime Numbers and the Riemann Hypothesis")</f>
        <v>Prime Numbers and the Riemann Hypothesis</v>
      </c>
      <c r="B169" s="6" t="s">
        <v>130</v>
      </c>
      <c r="C169" s="6" t="s">
        <v>210</v>
      </c>
      <c r="D169" s="7">
        <v>2016</v>
      </c>
      <c r="E169" s="8" t="s">
        <v>221</v>
      </c>
      <c r="F169" s="6" t="s">
        <v>306</v>
      </c>
    </row>
    <row r="170" spans="1:6" ht="24.6" customHeight="1" x14ac:dyDescent="0.2">
      <c r="A170" s="5" t="str">
        <f>HYPERLINK("https://www.amazon.com/Theory-That-Would-Not-Die/dp/0300188226", "The Theory that Would Not Die")</f>
        <v>The Theory that Would Not Die</v>
      </c>
      <c r="B170" s="6" t="s">
        <v>53</v>
      </c>
      <c r="C170" s="6" t="s">
        <v>212</v>
      </c>
      <c r="D170" s="7">
        <v>2011</v>
      </c>
      <c r="F170" s="6" t="s">
        <v>287</v>
      </c>
    </row>
    <row r="171" spans="1:6" ht="32.450000000000003" customHeight="1" x14ac:dyDescent="0.2">
      <c r="A171" s="5" t="str">
        <f>HYPERLINK("https://www.amazon.com/Joy-SET-Mathematical-Dimensions-Seemingly-ebook/dp/B01LYYN05I", "The Joy of SET: The Many Mathematical Dimensions of a Seemingly Simple Card Game")</f>
        <v>The Joy of SET: The Many Mathematical Dimensions of a Seemingly Simple Card Game</v>
      </c>
      <c r="B171" s="6" t="s">
        <v>24</v>
      </c>
      <c r="C171" s="6" t="s">
        <v>208</v>
      </c>
      <c r="D171" s="7">
        <v>2016</v>
      </c>
      <c r="F171" s="6" t="s">
        <v>251</v>
      </c>
    </row>
    <row r="172" spans="1:6" ht="24.6" customHeight="1" x14ac:dyDescent="0.2">
      <c r="A172" s="5" t="str">
        <f>HYPERLINK("https://www.amazon.com/Mathematical-Ideas-Charles-Miller-ebook/dp/B07RZPJNK7", "Mathematical Ideas")</f>
        <v>Mathematical Ideas</v>
      </c>
      <c r="B172" s="6" t="s">
        <v>68</v>
      </c>
      <c r="C172" s="6" t="s">
        <v>69</v>
      </c>
      <c r="D172" s="7">
        <v>2003</v>
      </c>
      <c r="F172" s="6" t="s">
        <v>292</v>
      </c>
    </row>
    <row r="173" spans="1:6" s="10" customFormat="1" ht="24.6" customHeight="1" x14ac:dyDescent="0.2">
      <c r="A173" s="9" t="str">
        <f>HYPERLINK("https://www.amazon.com/Drunkards-Walk-Randomness-Rules-Lives/dp/0307275175", "The Drunkard's Walk: How Randomness Rules Our Lives")</f>
        <v>The Drunkard's Walk: How Randomness Rules Our Lives</v>
      </c>
      <c r="B173" s="10" t="s">
        <v>394</v>
      </c>
      <c r="C173" s="10" t="s">
        <v>88</v>
      </c>
      <c r="D173" s="12">
        <v>2009</v>
      </c>
      <c r="E173" s="11"/>
      <c r="F173" s="10" t="s">
        <v>371</v>
      </c>
    </row>
    <row r="174" spans="1:6" ht="24.6" customHeight="1" x14ac:dyDescent="0.2">
      <c r="A174" s="5" t="str">
        <f>HYPERLINK("https://www.amazon.com/Revised-Scientific-American-Library-Paperback/dp/0716760088", "Powers of Ten ")</f>
        <v xml:space="preserve">Powers of Ten </v>
      </c>
      <c r="B174" s="6" t="s">
        <v>109</v>
      </c>
      <c r="C174" s="6" t="s">
        <v>348</v>
      </c>
      <c r="D174" s="7">
        <v>1994</v>
      </c>
      <c r="E174" s="8" t="s">
        <v>221</v>
      </c>
    </row>
    <row r="175" spans="1:6" ht="24.6" customHeight="1" x14ac:dyDescent="0.2">
      <c r="A175" s="5" t="str">
        <f>HYPERLINK("https://www.amazon.com/Code-Girls-Untold-American-Breakers-ebook/dp/B01N193KET", "Code Girls")</f>
        <v>Code Girls</v>
      </c>
      <c r="B175" s="6" t="s">
        <v>29</v>
      </c>
      <c r="C175" s="6" t="s">
        <v>30</v>
      </c>
      <c r="D175" s="7">
        <v>2018</v>
      </c>
      <c r="F175" s="6" t="s">
        <v>277</v>
      </c>
    </row>
    <row r="176" spans="1:6" ht="24.6" customHeight="1" x14ac:dyDescent="0.2">
      <c r="A176" s="5" t="str">
        <f>HYPERLINK("https://www.amazon.com/Godels-Proof-Ernest-Nagel/dp/0359079261", "Godel's Proof ")</f>
        <v xml:space="preserve">Godel's Proof </v>
      </c>
      <c r="B176" s="6" t="s">
        <v>175</v>
      </c>
      <c r="C176" s="6" t="s">
        <v>219</v>
      </c>
      <c r="D176" s="7">
        <v>2008</v>
      </c>
      <c r="E176" s="8" t="s">
        <v>221</v>
      </c>
      <c r="F176" s="6" t="s">
        <v>321</v>
      </c>
    </row>
    <row r="177" spans="1:6" ht="30" customHeight="1" x14ac:dyDescent="0.2">
      <c r="A177" s="5" t="str">
        <f>HYPERLINK("https://www.amazon.com/Chases-Escapes-Mathematics-Princeton-Puzzlers/dp/0691155011", "Chases and Escapes: The Mathematics of Pursuit and Evasion")</f>
        <v>Chases and Escapes: The Mathematics of Pursuit and Evasion</v>
      </c>
      <c r="B177" s="6" t="s">
        <v>33</v>
      </c>
      <c r="C177" s="6" t="s">
        <v>208</v>
      </c>
      <c r="D177" s="7">
        <v>2007</v>
      </c>
      <c r="E177" s="8" t="s">
        <v>223</v>
      </c>
      <c r="F177" s="6" t="s">
        <v>279</v>
      </c>
    </row>
    <row r="178" spans="1:6" ht="24.6" customHeight="1" x14ac:dyDescent="0.2">
      <c r="A178" s="5" t="str">
        <f>HYPERLINK("https://www.amazon.com/Mrs-Perkinss-Electric-Quilt-Mathematical-ebook/dp/B003R7LCQ4", "Mrs. Perkins's Electric Quilt")</f>
        <v>Mrs. Perkins's Electric Quilt</v>
      </c>
      <c r="B178" s="6" t="s">
        <v>33</v>
      </c>
      <c r="C178" s="6" t="s">
        <v>208</v>
      </c>
      <c r="D178" s="7">
        <v>2009</v>
      </c>
      <c r="F178" s="6" t="s">
        <v>298</v>
      </c>
    </row>
    <row r="179" spans="1:6" ht="24.6" customHeight="1" x14ac:dyDescent="0.2">
      <c r="A179" s="5" t="str">
        <f>HYPERLINK("https://www.amazon.com/Praise-Simple-Physics-Mathematics-Questions-ebook/dp/B018WNVEF6", "In Praise of Simple Physics")</f>
        <v>In Praise of Simple Physics</v>
      </c>
      <c r="B179" s="6" t="s">
        <v>33</v>
      </c>
      <c r="C179" s="6" t="s">
        <v>208</v>
      </c>
      <c r="D179" s="7">
        <v>2016</v>
      </c>
      <c r="F179" s="6" t="s">
        <v>264</v>
      </c>
    </row>
    <row r="180" spans="1:6" s="10" customFormat="1" ht="24.6" customHeight="1" x14ac:dyDescent="0.2">
      <c r="A180" s="9" t="str">
        <f>HYPERLINK("https://www.amazon.com/Imaginary-Tale-Princeton-Science-Library/dp/0691169241", "An Imaginary Tale: The Story of √-1")</f>
        <v>An Imaginary Tale: The Story of √-1</v>
      </c>
      <c r="B180" s="10" t="s">
        <v>33</v>
      </c>
      <c r="C180" s="10" t="s">
        <v>208</v>
      </c>
      <c r="D180" s="12">
        <v>2016</v>
      </c>
      <c r="E180" s="11"/>
      <c r="F180" s="10" t="s">
        <v>371</v>
      </c>
    </row>
    <row r="181" spans="1:6" s="10" customFormat="1" ht="33.6" customHeight="1" x14ac:dyDescent="0.2">
      <c r="A181" s="9" t="str">
        <f>HYPERLINK("https://www.amazon.com/Logician-Engineer-Shannon-Created-Information/dp/0691176000", "The Logician and the Engineer: How George Boole and Claude Shannon Created the Information Age")</f>
        <v>The Logician and the Engineer: How George Boole and Claude Shannon Created the Information Age</v>
      </c>
      <c r="B181" s="10" t="s">
        <v>33</v>
      </c>
      <c r="C181" s="10" t="s">
        <v>395</v>
      </c>
      <c r="D181" s="12">
        <v>2017</v>
      </c>
      <c r="E181" s="11"/>
      <c r="F181" s="10" t="s">
        <v>371</v>
      </c>
    </row>
    <row r="182" spans="1:6" ht="24.6" customHeight="1" x14ac:dyDescent="0.2">
      <c r="A182" s="5" t="str">
        <f>HYPERLINK("https://www.amazon.com/Closing-Gap-Quest-Understand-Numbers-ebook/dp/B072JWX3NH", "Closing the Gap: The Quest to Understand Prime Numbers")</f>
        <v>Closing the Gap: The Quest to Understand Prime Numbers</v>
      </c>
      <c r="B182" s="6" t="s">
        <v>129</v>
      </c>
      <c r="C182" s="6" t="s">
        <v>207</v>
      </c>
      <c r="D182" s="7">
        <v>2018</v>
      </c>
      <c r="F182" s="6" t="s">
        <v>306</v>
      </c>
    </row>
    <row r="183" spans="1:6" ht="24.6" customHeight="1" x14ac:dyDescent="0.2">
      <c r="A183" s="5" t="str">
        <f>HYPERLINK("https://www.amazon.com/Archimedes-Codex-Reviel-Netz/dp/0753823721", "The Archimedes Codex")</f>
        <v>The Archimedes Codex</v>
      </c>
      <c r="B183" s="6" t="s">
        <v>60</v>
      </c>
      <c r="C183" s="6" t="s">
        <v>61</v>
      </c>
      <c r="D183" s="7">
        <v>2007</v>
      </c>
      <c r="E183" s="8" t="s">
        <v>221</v>
      </c>
      <c r="F183" s="6" t="s">
        <v>290</v>
      </c>
    </row>
    <row r="184" spans="1:6" ht="24.6" customHeight="1" x14ac:dyDescent="0.2">
      <c r="A184" s="5" t="str">
        <f>HYPERLINK("https://www.amazon.com/World-Mathematics-4-volumes/dp/B001KI9LJC", "The World of Mathematics, Vol. I")</f>
        <v>The World of Mathematics, Vol. I</v>
      </c>
      <c r="B184" s="6" t="s">
        <v>169</v>
      </c>
      <c r="C184" s="6" t="s">
        <v>242</v>
      </c>
      <c r="D184" s="7">
        <v>2000</v>
      </c>
      <c r="E184" s="8" t="s">
        <v>222</v>
      </c>
      <c r="F184" s="6" t="s">
        <v>317</v>
      </c>
    </row>
    <row r="185" spans="1:6" ht="24.6" customHeight="1" x14ac:dyDescent="0.2">
      <c r="A185" s="5" t="str">
        <f>HYPERLINK("https://www.amazon.com/World-Mathematics-4-volumes/dp/B001KI9LJC", "The World of Mathematics, Vol. II")</f>
        <v>The World of Mathematics, Vol. II</v>
      </c>
      <c r="B185" s="6" t="s">
        <v>169</v>
      </c>
      <c r="C185" s="6" t="s">
        <v>242</v>
      </c>
      <c r="D185" s="7">
        <v>2000</v>
      </c>
      <c r="E185" s="8" t="s">
        <v>222</v>
      </c>
      <c r="F185" s="6" t="s">
        <v>317</v>
      </c>
    </row>
    <row r="186" spans="1:6" ht="24.6" customHeight="1" x14ac:dyDescent="0.2">
      <c r="A186" s="5" t="str">
        <f>HYPERLINK("https://www.amazon.com/World-Mathematics-4-volumes/dp/B001KI9LJC", "The World of Mathematics, Vol. III")</f>
        <v>The World of Mathematics, Vol. III</v>
      </c>
      <c r="B186" s="6" t="s">
        <v>169</v>
      </c>
      <c r="C186" s="6" t="s">
        <v>242</v>
      </c>
      <c r="D186" s="7">
        <v>2000</v>
      </c>
      <c r="E186" s="8" t="s">
        <v>222</v>
      </c>
      <c r="F186" s="6" t="s">
        <v>317</v>
      </c>
    </row>
    <row r="187" spans="1:6" ht="24.6" customHeight="1" x14ac:dyDescent="0.2">
      <c r="A187" s="5" t="str">
        <f>HYPERLINK("https://www.amazon.com/World-Mathematics-4-volumes/dp/B001KI9LJC", "The World of Mathematics, Vol. IV")</f>
        <v>The World of Mathematics, Vol. IV</v>
      </c>
      <c r="B187" s="6" t="s">
        <v>169</v>
      </c>
      <c r="C187" s="6" t="s">
        <v>242</v>
      </c>
      <c r="D187" s="7">
        <v>2000</v>
      </c>
      <c r="E187" s="8" t="s">
        <v>222</v>
      </c>
      <c r="F187" s="6" t="s">
        <v>317</v>
      </c>
    </row>
    <row r="188" spans="1:6" ht="24.6" customHeight="1" x14ac:dyDescent="0.2">
      <c r="A188" s="5" t="str">
        <f>HYPERLINK("https://www.amazon.com/Riddles-Mathematics-Paradoxes-Dover-Recreational/dp/0486780163", "Riddles in Mathematics: A Book of Paradoxes")</f>
        <v>Riddles in Mathematics: A Book of Paradoxes</v>
      </c>
      <c r="B188" s="6" t="s">
        <v>193</v>
      </c>
      <c r="C188" s="6" t="s">
        <v>357</v>
      </c>
      <c r="D188" s="7">
        <v>1975</v>
      </c>
      <c r="E188" s="8" t="s">
        <v>222</v>
      </c>
      <c r="F188" s="6" t="s">
        <v>258</v>
      </c>
    </row>
    <row r="189" spans="1:6" ht="24.6" customHeight="1" x14ac:dyDescent="0.2">
      <c r="A189" s="5" t="str">
        <f>HYPERLINK("https://www.amazon.com/Puzzles-Paradoxes-T-OBeirne-1965-08-01/dp/B01K3IN2W6", "Puzzles and Paradoxes: Fascinating Excursions in Recreational")</f>
        <v>Puzzles and Paradoxes: Fascinating Excursions in Recreational</v>
      </c>
      <c r="B189" s="6" t="s">
        <v>183</v>
      </c>
      <c r="C189" s="6" t="s">
        <v>242</v>
      </c>
      <c r="D189" s="7">
        <v>1984</v>
      </c>
      <c r="E189" s="8" t="s">
        <v>221</v>
      </c>
      <c r="F189" s="6" t="s">
        <v>258</v>
      </c>
    </row>
    <row r="190" spans="1:6" ht="24.6" customHeight="1" x14ac:dyDescent="0.2">
      <c r="A190" s="5" t="str">
        <f>HYPERLINK("https://www.amazon.com/Weapons-Math-Destruction-Increases-Inequality/dp/0553418831", "Weapons of Math Destruction")</f>
        <v>Weapons of Math Destruction</v>
      </c>
      <c r="B190" s="6" t="s">
        <v>31</v>
      </c>
      <c r="C190" s="6" t="s">
        <v>32</v>
      </c>
      <c r="D190" s="7">
        <v>2016</v>
      </c>
      <c r="F190" s="6" t="s">
        <v>278</v>
      </c>
    </row>
    <row r="191" spans="1:6" ht="24.6" customHeight="1" x14ac:dyDescent="0.2">
      <c r="A191" s="5" t="str">
        <f>HYPERLINK("https://www.amazon.com/My-Search-Ramanujan-Learned-Count-ebook/dp/B01ELQJHA2", "My Search for Ramanujan: How I Learned to Count")</f>
        <v>My Search for Ramanujan: How I Learned to Count</v>
      </c>
      <c r="B191" s="6" t="s">
        <v>11</v>
      </c>
      <c r="C191" s="6" t="s">
        <v>12</v>
      </c>
      <c r="D191" s="7">
        <v>2016</v>
      </c>
      <c r="F191" s="6" t="s">
        <v>244</v>
      </c>
    </row>
    <row r="192" spans="1:6" ht="24.6" customHeight="1" x14ac:dyDescent="0.2">
      <c r="A192" s="5" t="str">
        <f>HYPERLINK("https://www.amazon.com/99-Variations-Proof-Philip-Ording/dp/0691218978", "99 Variations on a Proof")</f>
        <v>99 Variations on a Proof</v>
      </c>
      <c r="B192" s="6" t="s">
        <v>84</v>
      </c>
      <c r="C192" s="6" t="s">
        <v>208</v>
      </c>
      <c r="D192" s="7">
        <v>2019</v>
      </c>
    </row>
    <row r="193" spans="1:6" ht="24.6" customHeight="1" x14ac:dyDescent="0.2">
      <c r="A193" s="5" t="str">
        <f>HYPERLINK("https://www.amazon.com/Math-Art-Truth-Beauty-Equations/dp/1454930446", "Math Art: Truth, Beauty, and Equations")</f>
        <v>Math Art: Truth, Beauty, and Equations</v>
      </c>
      <c r="B193" s="6" t="s">
        <v>98</v>
      </c>
      <c r="C193" s="6" t="s">
        <v>99</v>
      </c>
      <c r="D193" s="7">
        <v>2019</v>
      </c>
    </row>
    <row r="194" spans="1:6" ht="24.6" customHeight="1" x14ac:dyDescent="0.2">
      <c r="A194" s="5" t="str">
        <f>HYPERLINK("https://www.amazon.com/Mathematics-Games-Gambling-Mathematical-Library/dp/0883856468", "The Mathematics of Games and Gambling")</f>
        <v>The Mathematics of Games and Gambling</v>
      </c>
      <c r="B194" s="6" t="s">
        <v>40</v>
      </c>
      <c r="C194" s="6" t="s">
        <v>240</v>
      </c>
      <c r="D194" s="7">
        <v>2006</v>
      </c>
      <c r="E194" s="8" t="s">
        <v>223</v>
      </c>
      <c r="F194" s="6" t="s">
        <v>228</v>
      </c>
    </row>
    <row r="195" spans="1:6" s="10" customFormat="1" ht="24.6" customHeight="1" x14ac:dyDescent="0.2">
      <c r="A195" s="9" t="str">
        <f>HYPERLINK("https://www.amazon.com/Things-Make-Fourth-Dimension-Mathematicians/dp/0374535639", "Things to Make and Do in the Fourth Dimension")</f>
        <v>Things to Make and Do in the Fourth Dimension</v>
      </c>
      <c r="B195" s="10" t="s">
        <v>396</v>
      </c>
      <c r="C195" s="10" t="s">
        <v>74</v>
      </c>
      <c r="D195" s="12">
        <v>2015</v>
      </c>
      <c r="E195" s="11"/>
      <c r="F195" s="10" t="s">
        <v>371</v>
      </c>
    </row>
    <row r="196" spans="1:6" ht="24.6" customHeight="1" x14ac:dyDescent="0.2">
      <c r="A196" s="5" t="str">
        <f>HYPERLINK("https://www.amazon.com/Beyond-Numeracy-Ruminations-Numbers-Man/dp/0394586409", "Beyond Numeracy: Ruminations of a Numbers Man ")</f>
        <v xml:space="preserve">Beyond Numeracy: Ruminations of a Numbers Man </v>
      </c>
      <c r="B196" s="6" t="s">
        <v>87</v>
      </c>
      <c r="C196" s="6" t="s">
        <v>88</v>
      </c>
      <c r="D196" s="7">
        <v>1992</v>
      </c>
    </row>
    <row r="197" spans="1:6" ht="34.5" customHeight="1" x14ac:dyDescent="0.2">
      <c r="A197" s="5" t="str">
        <f>HYPERLINK("https://www.amazon.com/Mathematician-Reads-Newspaper-Allen-Paulos/dp/0140251812", "A Mathematician Reads the Newspapers: Making Sense of the Numbers in the Headlines")</f>
        <v>A Mathematician Reads the Newspapers: Making Sense of the Numbers in the Headlines</v>
      </c>
      <c r="B197" s="6" t="s">
        <v>87</v>
      </c>
      <c r="C197" s="13" t="s">
        <v>57</v>
      </c>
      <c r="D197" s="7">
        <v>1996</v>
      </c>
      <c r="F197" s="6" t="s">
        <v>371</v>
      </c>
    </row>
    <row r="198" spans="1:6" ht="32.450000000000003" customHeight="1" x14ac:dyDescent="0.2">
      <c r="A198" s="5" t="str">
        <f>HYPERLINK("https://www.amazon.com/Innumeracy-Mathematical-Illiteracy-Its-Consequences/dp/0809058405", "Innumeracy: Mathematical Illiteracy and Its Consequences")</f>
        <v>Innumeracy: Mathematical Illiteracy and Its Consequences</v>
      </c>
      <c r="B198" s="6" t="s">
        <v>87</v>
      </c>
      <c r="C198" s="6" t="s">
        <v>162</v>
      </c>
      <c r="D198" s="7">
        <v>2001</v>
      </c>
      <c r="F198" s="6" t="s">
        <v>317</v>
      </c>
    </row>
    <row r="199" spans="1:6" s="10" customFormat="1" ht="33" customHeight="1" x14ac:dyDescent="0.2">
      <c r="A199" s="9" t="str">
        <f>HYPERLINK("https://www.amazon.com/Road-Reality-Complete-Guide-Universe/dp/0679776311", "The Road to Reality: A Complete Guide to the Laws of the Universe")</f>
        <v>The Road to Reality: A Complete Guide to the Laws of the Universe</v>
      </c>
      <c r="B199" s="10" t="s">
        <v>78</v>
      </c>
      <c r="C199" s="10" t="s">
        <v>88</v>
      </c>
      <c r="D199" s="12">
        <v>2007</v>
      </c>
      <c r="E199" s="11"/>
      <c r="F199" s="10" t="s">
        <v>371</v>
      </c>
    </row>
    <row r="200" spans="1:6" ht="33" customHeight="1" x14ac:dyDescent="0.2">
      <c r="A200" s="5" t="str">
        <f>HYPERLINK("https://www.amazon.com/Fashion-Faith-Fantasy-Physics-Universe/dp/0691119791", "Fashion, Faith and Fantasy in the New Physics of the Universe")</f>
        <v>Fashion, Faith and Fantasy in the New Physics of the Universe</v>
      </c>
      <c r="B200" s="6" t="s">
        <v>78</v>
      </c>
      <c r="C200" s="6" t="s">
        <v>208</v>
      </c>
      <c r="D200" s="7">
        <v>2016</v>
      </c>
      <c r="F200" s="6" t="s">
        <v>298</v>
      </c>
    </row>
    <row r="201" spans="1:6" ht="24.6" customHeight="1" x14ac:dyDescent="0.2">
      <c r="A201" s="5" t="str">
        <f>HYPERLINK("https://www.amazon.com/Phi-Pi-i-Spectrum/dp/1470447991", "phi, pi, e &amp; i")</f>
        <v>phi, pi, e &amp; i</v>
      </c>
      <c r="B201" s="6" t="s">
        <v>64</v>
      </c>
      <c r="C201" s="6" t="s">
        <v>65</v>
      </c>
      <c r="D201" s="7">
        <v>2017</v>
      </c>
      <c r="F201" s="6" t="s">
        <v>290</v>
      </c>
    </row>
    <row r="202" spans="1:6" ht="24.6" customHeight="1" x14ac:dyDescent="0.2">
      <c r="A202" s="5" t="str">
        <f>HYPERLINK("https://www.amazon.com/Playing-Infinity-Mathematical-Explorations-Excursions/dp/0486232654", "Playing with Infinity")</f>
        <v>Playing with Infinity</v>
      </c>
      <c r="B202" s="6" t="s">
        <v>327</v>
      </c>
      <c r="C202" s="6" t="s">
        <v>242</v>
      </c>
      <c r="D202" s="7">
        <v>1976</v>
      </c>
      <c r="F202" s="6" t="s">
        <v>258</v>
      </c>
    </row>
    <row r="203" spans="1:6" ht="24.6" customHeight="1" x14ac:dyDescent="0.2">
      <c r="A203" s="5" t="str">
        <f>HYPERLINK("https://www.amazon.com/Mathematical-Tourist-Snapshots-Modern-Mathematics/dp/0716719533", "The Mathematical Tourist")</f>
        <v>The Mathematical Tourist</v>
      </c>
      <c r="B203" s="6" t="s">
        <v>117</v>
      </c>
      <c r="C203" s="6" t="s">
        <v>118</v>
      </c>
      <c r="D203" s="7">
        <v>1998</v>
      </c>
      <c r="E203" s="8" t="s">
        <v>223</v>
      </c>
    </row>
    <row r="204" spans="1:6" ht="24.6" customHeight="1" x14ac:dyDescent="0.2">
      <c r="A204" s="5" t="str">
        <f>HYPERLINK("https://www.amazon.com/Best-Writing-Mathematics-2010/dp/0691148414", "The Best Writing on Mathematics 2010")</f>
        <v>The Best Writing on Mathematics 2010</v>
      </c>
      <c r="B204" s="6" t="s">
        <v>114</v>
      </c>
      <c r="C204" s="6" t="s">
        <v>208</v>
      </c>
      <c r="D204" s="7">
        <v>2011</v>
      </c>
    </row>
    <row r="205" spans="1:6" ht="24.6" customHeight="1" x14ac:dyDescent="0.2">
      <c r="A205" s="5" t="str">
        <f>HYPERLINK("https://www.amazon.com/Best-Writing-Mathematics-2011/dp/0691153159", "The Best Writing on Mathematics 2011")</f>
        <v>The Best Writing on Mathematics 2011</v>
      </c>
      <c r="B205" s="6" t="s">
        <v>114</v>
      </c>
      <c r="C205" s="6" t="s">
        <v>208</v>
      </c>
      <c r="D205" s="7">
        <v>2011</v>
      </c>
    </row>
    <row r="206" spans="1:6" ht="24.6" customHeight="1" x14ac:dyDescent="0.2">
      <c r="A206" s="5" t="str">
        <f>HYPERLINK("https://www.amazon.com/Best-Writing-Mathematics-2012/dp/0691156557", "The Best Writing on Mathematics 2012")</f>
        <v>The Best Writing on Mathematics 2012</v>
      </c>
      <c r="B206" s="6" t="s">
        <v>114</v>
      </c>
      <c r="C206" s="6" t="s">
        <v>208</v>
      </c>
      <c r="D206" s="7">
        <v>2013</v>
      </c>
    </row>
    <row r="207" spans="1:6" ht="24.6" customHeight="1" x14ac:dyDescent="0.2">
      <c r="A207" s="5" t="str">
        <f>HYPERLINK("https://www.amazon.com/Best-Writing-Mathematics-2013/dp/0691160414", "The Best Writing on Mathematics 2013")</f>
        <v>The Best Writing on Mathematics 2013</v>
      </c>
      <c r="B207" s="6" t="s">
        <v>114</v>
      </c>
      <c r="C207" s="6" t="s">
        <v>208</v>
      </c>
      <c r="D207" s="7">
        <v>2013</v>
      </c>
      <c r="F207" s="6" t="s">
        <v>275</v>
      </c>
    </row>
    <row r="208" spans="1:6" ht="24.6" customHeight="1" x14ac:dyDescent="0.2">
      <c r="A208" s="5" t="str">
        <f>HYPERLINK("https://www.amazon.com/Best-Writing-Mathematics-2014/dp/0691164177", "The Best Writing on Mathematics 2014")</f>
        <v>The Best Writing on Mathematics 2014</v>
      </c>
      <c r="B208" s="6" t="s">
        <v>114</v>
      </c>
      <c r="C208" s="6" t="s">
        <v>208</v>
      </c>
      <c r="D208" s="7">
        <v>2014</v>
      </c>
    </row>
    <row r="209" spans="1:6" ht="24.6" customHeight="1" x14ac:dyDescent="0.2">
      <c r="A209" s="5" t="str">
        <f>HYPERLINK("https://www.amazon.com/Best-Writing-Mathematics-2015/dp/0691169659", "The Best Writing on Mathematics 2015")</f>
        <v>The Best Writing on Mathematics 2015</v>
      </c>
      <c r="B209" s="6" t="s">
        <v>114</v>
      </c>
      <c r="C209" s="6" t="s">
        <v>208</v>
      </c>
      <c r="D209" s="7">
        <v>2016</v>
      </c>
    </row>
    <row r="210" spans="1:6" ht="24.6" customHeight="1" x14ac:dyDescent="0.2">
      <c r="A210" s="5" t="str">
        <f>HYPERLINK("https://www.amazon.com/Best-Writing-Mathematics-2016/dp/0691175292", "The Best Writing on Mathematics 2016")</f>
        <v>The Best Writing on Mathematics 2016</v>
      </c>
      <c r="B210" s="6" t="s">
        <v>114</v>
      </c>
      <c r="C210" s="6" t="s">
        <v>208</v>
      </c>
      <c r="D210" s="7">
        <v>2017</v>
      </c>
    </row>
    <row r="211" spans="1:6" ht="24.6" customHeight="1" x14ac:dyDescent="0.2">
      <c r="A211" s="5" t="str">
        <f>HYPERLINK("https://www.amazon.com/Best-Writing-Mathematics-2017/dp/0691178631", "The Best Writing on Mathematics 2017")</f>
        <v>The Best Writing on Mathematics 2017</v>
      </c>
      <c r="B211" s="6" t="s">
        <v>114</v>
      </c>
      <c r="C211" s="6" t="s">
        <v>208</v>
      </c>
      <c r="D211" s="7">
        <v>2017</v>
      </c>
    </row>
    <row r="212" spans="1:6" ht="24.6" customHeight="1" x14ac:dyDescent="0.2">
      <c r="A212" s="5" t="str">
        <f>HYPERLINK("https://www.amazon.com/Best-Writing-Mathematics-2018-ebook/dp/B07DLHP9VR", "The Best Writing on Mathematics 2018")</f>
        <v>The Best Writing on Mathematics 2018</v>
      </c>
      <c r="B212" s="6" t="s">
        <v>114</v>
      </c>
      <c r="C212" s="6" t="s">
        <v>208</v>
      </c>
      <c r="D212" s="7">
        <v>2018</v>
      </c>
    </row>
    <row r="213" spans="1:6" ht="24.6" customHeight="1" x14ac:dyDescent="0.2">
      <c r="A213" s="5" t="str">
        <f>HYPERLINK("https://www.amazon.com/Best-Writing-Mathematics-2019-ebook/dp/B07WXLLNQK", "The Best Writing on Mathematics 2019")</f>
        <v>The Best Writing on Mathematics 2019</v>
      </c>
      <c r="B213" s="6" t="s">
        <v>114</v>
      </c>
      <c r="C213" s="6" t="s">
        <v>208</v>
      </c>
      <c r="D213" s="7">
        <v>2019</v>
      </c>
    </row>
    <row r="214" spans="1:6" ht="24.6" customHeight="1" x14ac:dyDescent="0.2">
      <c r="A214" s="5" t="str">
        <f>HYPERLINK("https://www.amazon.com/Best-Writing-Mathematics-2020-18/dp/0691207569", "The Best Writing on Mathematics 2020")</f>
        <v>The Best Writing on Mathematics 2020</v>
      </c>
      <c r="B214" s="6" t="s">
        <v>114</v>
      </c>
      <c r="C214" s="6" t="s">
        <v>208</v>
      </c>
      <c r="D214" s="7">
        <v>2020</v>
      </c>
    </row>
    <row r="215" spans="1:6" ht="24.6" customHeight="1" x14ac:dyDescent="0.2">
      <c r="A215" s="5" t="str">
        <f>HYPERLINK("https://www.amazon.com/Logic-Very-Short-Introduction-Introductions/dp/0198811705", "Logic: A Very Short Introduction")</f>
        <v>Logic: A Very Short Introduction</v>
      </c>
      <c r="B215" s="6" t="s">
        <v>70</v>
      </c>
      <c r="C215" s="6" t="s">
        <v>207</v>
      </c>
      <c r="D215" s="7">
        <v>2018</v>
      </c>
      <c r="F215" s="6" t="s">
        <v>293</v>
      </c>
    </row>
    <row r="216" spans="1:6" ht="24.6" customHeight="1" x14ac:dyDescent="0.2">
      <c r="A216" s="5" t="str">
        <f>HYPERLINK("https://www.amazon.com/Higher-Mathematics-Elementary-Point-View/dp/3764330643", "Higher Mathematics from an Elementary Point of View ")</f>
        <v xml:space="preserve">Higher Mathematics from an Elementary Point of View </v>
      </c>
      <c r="B216" s="6" t="s">
        <v>328</v>
      </c>
      <c r="C216" s="6" t="s">
        <v>22</v>
      </c>
      <c r="D216" s="7">
        <v>1983</v>
      </c>
      <c r="E216" s="8" t="s">
        <v>221</v>
      </c>
      <c r="F216" s="6" t="s">
        <v>317</v>
      </c>
    </row>
    <row r="217" spans="1:6" ht="24.6" customHeight="1" x14ac:dyDescent="0.2">
      <c r="A217" s="5" t="str">
        <f>HYPERLINK("https://www.amazon.com/Enjoyment-Math-Princeton-Science-Library/dp/0691241546", "The Enjoyment of Math")</f>
        <v>The Enjoyment of Math</v>
      </c>
      <c r="B217" s="6" t="s">
        <v>166</v>
      </c>
      <c r="C217" s="6" t="s">
        <v>208</v>
      </c>
      <c r="D217" s="7">
        <v>1966</v>
      </c>
      <c r="E217" s="8" t="s">
        <v>222</v>
      </c>
      <c r="F217" s="6" t="s">
        <v>317</v>
      </c>
    </row>
    <row r="218" spans="1:6" ht="24.6" customHeight="1" x14ac:dyDescent="0.2">
      <c r="A218" s="5" t="str">
        <f>HYPERLINK("https://www.amazon.com/Origami-Geometric-Exercises-Paper-Folding-ebook/dp/B00E1X3N8S", "Origami: Geometric Exercises in Paper Folding")</f>
        <v>Origami: Geometric Exercises in Paper Folding</v>
      </c>
      <c r="B218" s="6" t="s">
        <v>100</v>
      </c>
      <c r="C218" s="6" t="s">
        <v>351</v>
      </c>
      <c r="D218" s="7">
        <v>2013</v>
      </c>
      <c r="E218" s="8" t="s">
        <v>222</v>
      </c>
    </row>
    <row r="219" spans="1:6" ht="24.6" customHeight="1" x14ac:dyDescent="0.2">
      <c r="A219" s="5" t="str">
        <f>HYPERLINK("https://www.amazon.com/Tangrams-Puzzles-Dover-Recreational-Math/dp/0486214834", "Tangrams: 330 Puzzles")</f>
        <v>Tangrams: 330 Puzzles</v>
      </c>
      <c r="B219" s="6" t="s">
        <v>151</v>
      </c>
      <c r="C219" s="6" t="s">
        <v>242</v>
      </c>
      <c r="D219" s="7">
        <v>1965</v>
      </c>
      <c r="E219" s="8" t="s">
        <v>222</v>
      </c>
      <c r="F219" s="6" t="s">
        <v>258</v>
      </c>
    </row>
    <row r="220" spans="1:6" s="10" customFormat="1" ht="29.45" customHeight="1" x14ac:dyDescent="0.2">
      <c r="A220" s="9" t="str">
        <f>HYPERLINK("https://www.amazon.com/Eulers-Gem-Polyhedron-Formula-Topology/dp/0691154570", "Euler's Gem: The Polyhedron Formula and the Birth of Topology")</f>
        <v>Euler's Gem: The Polyhedron Formula and the Birth of Topology</v>
      </c>
      <c r="B220" s="10" t="s">
        <v>397</v>
      </c>
      <c r="C220" s="10" t="s">
        <v>208</v>
      </c>
      <c r="D220" s="12">
        <v>2012</v>
      </c>
      <c r="E220" s="11"/>
      <c r="F220" s="10" t="s">
        <v>371</v>
      </c>
    </row>
    <row r="221" spans="1:6" ht="24.6" customHeight="1" x14ac:dyDescent="0.2">
      <c r="A221" s="5" t="str">
        <f>HYPERLINK("https://www.amazon.com/Symmetry-Discovered-Concepts-Applications-Science/dp/0486294331", "Symmetry Discovered")</f>
        <v>Symmetry Discovered</v>
      </c>
      <c r="B221" s="6" t="s">
        <v>50</v>
      </c>
      <c r="C221" s="6" t="s">
        <v>242</v>
      </c>
      <c r="D221" s="7">
        <v>2015</v>
      </c>
      <c r="F221" s="6" t="s">
        <v>233</v>
      </c>
    </row>
    <row r="222" spans="1:6" ht="29.45" customHeight="1" x14ac:dyDescent="0.2">
      <c r="A222" s="5" t="str">
        <f>HYPERLINK("https://www.amazon.com/Observation-Experiment-Introduction-Causal-Inference/dp/0674241630", "Observation and Experiment: An Introduction to Causal Inference")</f>
        <v>Observation and Experiment: An Introduction to Causal Inference</v>
      </c>
      <c r="B222" s="6" t="s">
        <v>153</v>
      </c>
      <c r="C222" s="6" t="s">
        <v>214</v>
      </c>
      <c r="D222" s="7">
        <v>2017</v>
      </c>
      <c r="F222" s="6" t="s">
        <v>314</v>
      </c>
    </row>
    <row r="223" spans="1:6" ht="24.6" customHeight="1" x14ac:dyDescent="0.2">
      <c r="A223" s="5" t="str">
        <f>HYPERLINK("https://www.amazon.com/Taking-Sudoku-Seriously-Behind-Popular/dp/0199756562", "Taking Sudoku Seriously")</f>
        <v>Taking Sudoku Seriously</v>
      </c>
      <c r="B223" s="6" t="s">
        <v>26</v>
      </c>
      <c r="C223" s="6" t="s">
        <v>207</v>
      </c>
      <c r="D223" s="7">
        <v>2011</v>
      </c>
      <c r="F223" s="6" t="s">
        <v>253</v>
      </c>
    </row>
    <row r="224" spans="1:6" ht="24.6" customHeight="1" x14ac:dyDescent="0.2">
      <c r="A224" s="5" t="str">
        <f>HYPERLINK("https://www.amazon.com/Invisible-Storm-Mathematics-Understanding-Weather-ebook/dp/B00PH4NW72", "Invisible in the Storm: The Role of Mathematics in Understanding Weather")</f>
        <v>Invisible in the Storm: The Role of Mathematics in Understanding Weather</v>
      </c>
      <c r="B224" s="6" t="s">
        <v>77</v>
      </c>
      <c r="C224" s="6" t="s">
        <v>208</v>
      </c>
      <c r="D224" s="7">
        <v>2013</v>
      </c>
      <c r="F224" s="6" t="s">
        <v>297</v>
      </c>
    </row>
    <row r="225" spans="1:6" ht="24.6" customHeight="1" x14ac:dyDescent="0.2">
      <c r="A225" s="5" t="str">
        <f>HYPERLINK("https://www.amazon.com/Proving-Her-Way-Noether-Mathematics/dp/3030628108", "Proving It Her Way: Emmy Noether, a Life in Mathematics")</f>
        <v>Proving It Her Way: Emmy Noether, a Life in Mathematics</v>
      </c>
      <c r="B225" s="6" t="s">
        <v>15</v>
      </c>
      <c r="C225" s="6" t="s">
        <v>12</v>
      </c>
      <c r="D225" s="7">
        <v>2020</v>
      </c>
      <c r="F225" s="6" t="s">
        <v>272</v>
      </c>
    </row>
    <row r="226" spans="1:6" ht="24.6" customHeight="1" x14ac:dyDescent="0.2">
      <c r="A226" s="5" t="str">
        <f>HYPERLINK("https://www.amazon.com/Geometry-Relativity-Fourth-Dimension-Mathematics/dp/0486234002", "Geometry Relativity, and the Fourth Dimension")</f>
        <v>Geometry Relativity, and the Fourth Dimension</v>
      </c>
      <c r="B226" s="6" t="s">
        <v>48</v>
      </c>
      <c r="C226" s="6" t="s">
        <v>242</v>
      </c>
      <c r="D226" s="7">
        <v>1977</v>
      </c>
      <c r="F226" s="6" t="s">
        <v>231</v>
      </c>
    </row>
    <row r="227" spans="1:6" ht="24.6" customHeight="1" x14ac:dyDescent="0.2">
      <c r="A227" s="5" t="str">
        <f>HYPERLINK("https://www.amazon.com/Infinity-Mind-Philosophy-Infinite-Princeton/dp/0691191387", "Infinity and the Mind")</f>
        <v>Infinity and the Mind</v>
      </c>
      <c r="B227" s="6" t="s">
        <v>36</v>
      </c>
      <c r="C227" s="6" t="s">
        <v>208</v>
      </c>
      <c r="D227" s="7">
        <v>2005</v>
      </c>
      <c r="E227" s="8" t="s">
        <v>222</v>
      </c>
      <c r="F227" s="6" t="s">
        <v>235</v>
      </c>
    </row>
    <row r="228" spans="1:6" ht="24.6" customHeight="1" x14ac:dyDescent="0.2">
      <c r="A228" s="5" t="str">
        <f>HYPERLINK("https://www.amazon.com/Fourth-Dimension-Geometry-Reality-Science/dp/0486779785", "The Fourth Dimension")</f>
        <v>The Fourth Dimension</v>
      </c>
      <c r="B228" s="6" t="s">
        <v>36</v>
      </c>
      <c r="C228" s="6" t="s">
        <v>242</v>
      </c>
      <c r="D228" s="7">
        <v>2014</v>
      </c>
      <c r="F228" s="6" t="s">
        <v>281</v>
      </c>
    </row>
    <row r="229" spans="1:6" s="10" customFormat="1" ht="24.6" customHeight="1" x14ac:dyDescent="0.2">
      <c r="A229" s="9" t="str">
        <f>HYPERLINK("https://www.amazon.com/Riemann-Hypothesis-Greatest-Unsolved-Mathematics/dp/0374250073", "The Riemann Hypothesis: The Greatest Unsolved Problem in Mathematics")</f>
        <v>The Riemann Hypothesis: The Greatest Unsolved Problem in Mathematics</v>
      </c>
      <c r="B229" s="10" t="s">
        <v>399</v>
      </c>
      <c r="C229" s="10" t="s">
        <v>398</v>
      </c>
      <c r="D229" s="12">
        <v>2003</v>
      </c>
      <c r="E229" s="11"/>
      <c r="F229" s="10" t="s">
        <v>371</v>
      </c>
    </row>
    <row r="230" spans="1:6" ht="24.6" customHeight="1" x14ac:dyDescent="0.2">
      <c r="A230" s="5" t="str">
        <f>HYPERLINK("https://www.amazon.com/Lady-Tasting-Tea-Statistics-Revolutionized/dp/0805071342", "The Lady Tasting Tea")</f>
        <v>The Lady Tasting Tea</v>
      </c>
      <c r="B230" s="6" t="s">
        <v>154</v>
      </c>
      <c r="C230" s="6" t="s">
        <v>13</v>
      </c>
      <c r="D230" s="7">
        <v>2002</v>
      </c>
      <c r="E230" s="8" t="s">
        <v>223</v>
      </c>
      <c r="F230" s="6" t="s">
        <v>271</v>
      </c>
    </row>
    <row r="231" spans="1:6" ht="24.6" customHeight="1" x14ac:dyDescent="0.2">
      <c r="A231" s="5" t="str">
        <f>HYPERLINK("https://www.amazon.com/Errors-Blunders-Lies-Difference-Statistical/dp/1498795781", "Errors, Blunders, and Lies: How to Tell the Difference")</f>
        <v>Errors, Blunders, and Lies: How to Tell the Difference</v>
      </c>
      <c r="B231" s="6" t="s">
        <v>154</v>
      </c>
      <c r="C231" s="6" t="s">
        <v>90</v>
      </c>
      <c r="D231" s="7">
        <v>2018</v>
      </c>
      <c r="F231" s="6" t="s">
        <v>315</v>
      </c>
    </row>
    <row r="232" spans="1:6" ht="24.6" customHeight="1" x14ac:dyDescent="0.2">
      <c r="A232" s="5" t="str">
        <f>HYPERLINK("https://www.amazon.com/Prelude-Mathematics-Dover-Books/dp/0486244016", "Prelude to Mathematics")</f>
        <v>Prelude to Mathematics</v>
      </c>
      <c r="B232" s="6" t="s">
        <v>110</v>
      </c>
      <c r="C232" s="6" t="s">
        <v>242</v>
      </c>
      <c r="D232" s="7">
        <v>1982</v>
      </c>
    </row>
    <row r="233" spans="1:6" ht="24.6" customHeight="1" x14ac:dyDescent="0.2">
      <c r="A233" s="5" t="str">
        <f>HYPERLINK("https://www.amazon.com/M-C-Escher-Kaleidocycles-Wallace-Walker/dp/3836583690", "M. C. Escher Kaleidocycles")</f>
        <v>M. C. Escher Kaleidocycles</v>
      </c>
      <c r="B233" s="6" t="s">
        <v>191</v>
      </c>
      <c r="C233" s="6" t="s">
        <v>192</v>
      </c>
      <c r="D233" s="7">
        <v>1985</v>
      </c>
      <c r="E233" s="8" t="s">
        <v>222</v>
      </c>
      <c r="F233" s="6" t="s">
        <v>258</v>
      </c>
    </row>
    <row r="234" spans="1:6" ht="24.6" customHeight="1" x14ac:dyDescent="0.2">
      <c r="A234" s="5" t="str">
        <f>HYPERLINK("https://www.amazon.com/Invitation-Mathematics-Dierk-Schleicher-ebook/dp/B00DGEG4YI", "An Invitation to Mathematics")</f>
        <v>An Invitation to Mathematics</v>
      </c>
      <c r="B234" s="6" t="s">
        <v>344</v>
      </c>
      <c r="C234" s="6" t="s">
        <v>12</v>
      </c>
      <c r="D234" s="7">
        <v>2011</v>
      </c>
      <c r="E234" s="8" t="s">
        <v>222</v>
      </c>
      <c r="F234" s="6" t="s">
        <v>317</v>
      </c>
    </row>
    <row r="235" spans="1:6" ht="24.6" customHeight="1" x14ac:dyDescent="0.2">
      <c r="A235" s="5" t="str">
        <f>HYPERLINK("https://www.amazon.com/Visualizing-Mathematics-Printing-Henry-Segerman/dp/142142035X", "Visualizing Mathematics with 3D Printing")</f>
        <v>Visualizing Mathematics with 3D Printing</v>
      </c>
      <c r="B235" s="6" t="s">
        <v>42</v>
      </c>
      <c r="C235" s="6" t="s">
        <v>211</v>
      </c>
      <c r="D235" s="7">
        <v>2016</v>
      </c>
      <c r="E235" s="8" t="s">
        <v>222</v>
      </c>
      <c r="F235" s="6" t="s">
        <v>285</v>
      </c>
    </row>
    <row r="236" spans="1:6" s="10" customFormat="1" ht="24.6" customHeight="1" x14ac:dyDescent="0.2">
      <c r="A236" s="9" t="str">
        <f>HYPERLINK("https://www.amazon.com/Zero-Biography-Dangerous-Charles-Seife/dp/0140296476", "Zero: The Biography of a Dangerous Idea")</f>
        <v>Zero: The Biography of a Dangerous Idea</v>
      </c>
      <c r="B236" s="10" t="s">
        <v>401</v>
      </c>
      <c r="C236" s="10" t="s">
        <v>57</v>
      </c>
      <c r="D236" s="12">
        <v>2000</v>
      </c>
      <c r="E236" s="11"/>
      <c r="F236" s="10" t="s">
        <v>371</v>
      </c>
    </row>
    <row r="237" spans="1:6" s="10" customFormat="1" ht="24.6" customHeight="1" x14ac:dyDescent="0.2">
      <c r="A237" s="9" t="str">
        <f>HYPERLINK("https://www.amazon.com/Games-Life-Explorations-Evolution-Behavior/dp/0486812898", "Games of Life: Explorations in Ecology, Evolution and Behavior")</f>
        <v>Games of Life: Explorations in Ecology, Evolution and Behavior</v>
      </c>
      <c r="B237" s="10" t="s">
        <v>402</v>
      </c>
      <c r="C237" s="10" t="s">
        <v>242</v>
      </c>
      <c r="D237" s="12">
        <v>2017</v>
      </c>
      <c r="E237" s="11"/>
      <c r="F237" s="10" t="s">
        <v>371</v>
      </c>
    </row>
    <row r="238" spans="1:6" ht="24.6" customHeight="1" x14ac:dyDescent="0.2">
      <c r="A238" s="5" t="str">
        <f>HYPERLINK("https://www.amazon.com/Signal-Noise-Many-Predictions-Fail-but-ebook/dp/B007V65R54", "The Signal and the Noise")</f>
        <v>The Signal and the Noise</v>
      </c>
      <c r="B238" s="6" t="s">
        <v>156</v>
      </c>
      <c r="C238" s="6" t="s">
        <v>57</v>
      </c>
      <c r="D238" s="7">
        <v>2015</v>
      </c>
      <c r="F238" s="6" t="s">
        <v>316</v>
      </c>
    </row>
    <row r="239" spans="1:6" ht="24.6" customHeight="1" x14ac:dyDescent="0.2">
      <c r="A239" s="5" t="str">
        <f>HYPERLINK("https://www.amazon.com/Your-Move-Logic-Puzzles-Enthusiasts/dp/0486267318", "Your Move: Logic, Math and Word Puzzles for Enthusiasts")</f>
        <v>Your Move: Logic, Math and Word Puzzles for Enthusiasts</v>
      </c>
      <c r="B239" s="6" t="s">
        <v>140</v>
      </c>
      <c r="C239" s="6" t="s">
        <v>242</v>
      </c>
      <c r="D239" s="7">
        <v>1991</v>
      </c>
      <c r="E239" s="8" t="s">
        <v>222</v>
      </c>
      <c r="F239" s="6" t="s">
        <v>312</v>
      </c>
    </row>
    <row r="240" spans="1:6" ht="24.6" customHeight="1" x14ac:dyDescent="0.2">
      <c r="A240" s="5" t="str">
        <f>HYPERLINK("https://www.amazon.com/Rediscovering-Mathematics-Classroom-Resource-Materials/dp/0883857804", "Rediscovering Mathematics: You Do the Math")</f>
        <v>Rediscovering Mathematics: You Do the Math</v>
      </c>
      <c r="B240" s="6" t="s">
        <v>111</v>
      </c>
      <c r="C240" s="6" t="s">
        <v>240</v>
      </c>
      <c r="D240" s="7">
        <v>2011</v>
      </c>
    </row>
    <row r="241" spans="1:6" ht="24.6" customHeight="1" x14ac:dyDescent="0.2">
      <c r="A241" s="5" t="str">
        <f>HYPERLINK("https://www.amazon.com/Fermats-Enigma-Greatest-Mathematical-Problem/dp/0385493622", "Fermat's Enigma")</f>
        <v>Fermat's Enigma</v>
      </c>
      <c r="B241" s="6" t="s">
        <v>66</v>
      </c>
      <c r="C241" s="6" t="s">
        <v>67</v>
      </c>
      <c r="D241" s="7">
        <v>1998</v>
      </c>
      <c r="E241" s="8" t="s">
        <v>221</v>
      </c>
      <c r="F241" s="6" t="s">
        <v>245</v>
      </c>
    </row>
    <row r="242" spans="1:6" s="10" customFormat="1" ht="30" customHeight="1" x14ac:dyDescent="0.2">
      <c r="A242" s="9" t="str">
        <f>HYPERLINK("https://www.amazon.com/Code-Book-Science-Secrecy-Cryptography/dp/0385495323", "The Code Book: The Science of Secrecy from Ancient Egypt to Quantum Cryptography")</f>
        <v>The Code Book: The Science of Secrecy from Ancient Egypt to Quantum Cryptography</v>
      </c>
      <c r="B242" s="10" t="s">
        <v>66</v>
      </c>
      <c r="C242" s="10" t="s">
        <v>403</v>
      </c>
      <c r="D242" s="12">
        <v>2000</v>
      </c>
      <c r="E242" s="11"/>
      <c r="F242" s="10" t="s">
        <v>371</v>
      </c>
    </row>
    <row r="243" spans="1:6" ht="24.6" customHeight="1" x14ac:dyDescent="0.2">
      <c r="A243" s="5" t="str">
        <f>HYPERLINK("https://www.amazon.com/Forever-Undecided-Puzzle-Guide-Godel/dp/0394549430", "Forever Undecided: A Puzzle Guide to Godel ")</f>
        <v xml:space="preserve">Forever Undecided: A Puzzle Guide to Godel </v>
      </c>
      <c r="B243" s="6" t="s">
        <v>72</v>
      </c>
      <c r="C243" s="6" t="s">
        <v>190</v>
      </c>
      <c r="D243" s="7">
        <v>1987</v>
      </c>
      <c r="E243" s="8" t="s">
        <v>222</v>
      </c>
      <c r="F243" s="6" t="s">
        <v>258</v>
      </c>
    </row>
    <row r="244" spans="1:6" ht="24.6" customHeight="1" x14ac:dyDescent="0.2">
      <c r="A244" s="5" t="str">
        <f>HYPERLINK("https://www.amazon.com/Mock-Mockingbird-Raymond-Smullyan/dp/0192801422", "To Mock a Mockingbird")</f>
        <v>To Mock a Mockingbird</v>
      </c>
      <c r="B244" s="6" t="s">
        <v>72</v>
      </c>
      <c r="C244" s="6" t="s">
        <v>207</v>
      </c>
      <c r="D244" s="7">
        <v>2000</v>
      </c>
      <c r="E244" s="8" t="s">
        <v>222</v>
      </c>
      <c r="F244" s="6" t="s">
        <v>258</v>
      </c>
    </row>
    <row r="245" spans="1:6" ht="24.6" customHeight="1" x14ac:dyDescent="0.2">
      <c r="A245" s="5" t="str">
        <f>HYPERLINK("https://www.amazon.com/G%C3%B6delian-Puzzle-Book-Puzzles-Paradoxes/dp/0486497054", "Gödelian Puzzle Book: Puzzles, Paradoxes and Proofs")</f>
        <v>Gödelian Puzzle Book: Puzzles, Paradoxes and Proofs</v>
      </c>
      <c r="B245" s="6" t="s">
        <v>72</v>
      </c>
      <c r="C245" s="6" t="s">
        <v>242</v>
      </c>
      <c r="D245" s="7">
        <v>2013</v>
      </c>
      <c r="F245" s="6" t="s">
        <v>234</v>
      </c>
    </row>
    <row r="246" spans="1:6" ht="33" customHeight="1" x14ac:dyDescent="0.2">
      <c r="A246" s="5" t="str">
        <f>HYPERLINK("https://www.amazon.com/Numbers-Infinity-Historical-Mathematical-Concepts/dp/0521240913", "Numbers and Infinity: A Historical Account of Mathematical Concepts")</f>
        <v>Numbers and Infinity: A Historical Account of Mathematical Concepts</v>
      </c>
      <c r="B246" s="6" t="s">
        <v>58</v>
      </c>
      <c r="C246" s="6" t="s">
        <v>242</v>
      </c>
      <c r="D246" s="7">
        <v>2006</v>
      </c>
      <c r="E246" s="8" t="s">
        <v>221</v>
      </c>
      <c r="F246" s="6" t="s">
        <v>290</v>
      </c>
    </row>
    <row r="247" spans="1:6" ht="24.6" customHeight="1" x14ac:dyDescent="0.2">
      <c r="A247" s="5" t="str">
        <f>HYPERLINK("https://www.amazon.com/Mathematics-Tomorrow-Lynn-Steen/dp/0387905642", "Mathematics Tomorrow ")</f>
        <v xml:space="preserve">Mathematics Tomorrow </v>
      </c>
      <c r="B247" s="6" t="s">
        <v>201</v>
      </c>
      <c r="C247" s="6" t="s">
        <v>12</v>
      </c>
      <c r="D247" s="7">
        <v>1981</v>
      </c>
      <c r="E247" s="8" t="s">
        <v>221</v>
      </c>
      <c r="F247" s="6" t="s">
        <v>317</v>
      </c>
    </row>
    <row r="248" spans="1:6" ht="24.6" customHeight="1" x14ac:dyDescent="0.2">
      <c r="A248" s="5" t="str">
        <f>HYPERLINK("https://www.amazon.com/Mathematical-Snapshots-Dover-Recreational-Math-ebook/dp/B00A73FIG6", "Mathematical Snapshots")</f>
        <v>Mathematical Snapshots</v>
      </c>
      <c r="B248" s="6" t="s">
        <v>163</v>
      </c>
      <c r="C248" s="6" t="s">
        <v>242</v>
      </c>
      <c r="D248" s="7">
        <v>1999</v>
      </c>
      <c r="E248" s="8" t="s">
        <v>222</v>
      </c>
      <c r="F248" s="6" t="s">
        <v>317</v>
      </c>
    </row>
    <row r="249" spans="1:6" ht="24.6" customHeight="1" x14ac:dyDescent="0.2">
      <c r="A249" s="5" t="str">
        <f>HYPERLINK("https://www.amazon.com/Adventures-Among-Toroids-Quasi-Convex-Orientable/dp/0686119363", "Adventures Among the Toroids")</f>
        <v>Adventures Among the Toroids</v>
      </c>
      <c r="B249" s="6" t="s">
        <v>85</v>
      </c>
      <c r="C249" s="6" t="s">
        <v>86</v>
      </c>
      <c r="D249" s="7">
        <v>1980</v>
      </c>
      <c r="E249" s="8" t="s">
        <v>222</v>
      </c>
    </row>
    <row r="250" spans="1:6" ht="24.6" customHeight="1" x14ac:dyDescent="0.2">
      <c r="A250" s="5" t="str">
        <f>HYPERLINK("https://www.amazon.com/Problems-Mathematics-2nd-Stewart-Paperback-dp-B010WEIIKM/dp/B010WEIIKM", "The Problems of Mathematics ")</f>
        <v xml:space="preserve">The Problems of Mathematics </v>
      </c>
      <c r="B250" s="6" t="s">
        <v>124</v>
      </c>
      <c r="C250" s="6" t="s">
        <v>216</v>
      </c>
      <c r="D250" s="7">
        <v>1992</v>
      </c>
      <c r="E250" s="8" t="s">
        <v>221</v>
      </c>
    </row>
    <row r="251" spans="1:6" ht="30" customHeight="1" x14ac:dyDescent="0.2">
      <c r="A251" s="5" t="str">
        <f>HYPERLINK("https://www.amazon.com/Figments-Reality-Evolution-Curious-Mind-ebook/dp/B001FSKBLE", "Figments of Reality: The Evolution of the Curious Mind")</f>
        <v>Figments of Reality: The Evolution of the Curious Mind</v>
      </c>
      <c r="B251" s="6" t="s">
        <v>8</v>
      </c>
      <c r="C251" s="13" t="s">
        <v>210</v>
      </c>
      <c r="D251" s="7">
        <v>1997</v>
      </c>
      <c r="F251" s="6" t="s">
        <v>371</v>
      </c>
    </row>
    <row r="252" spans="1:6" ht="30" customHeight="1" x14ac:dyDescent="0.2">
      <c r="A252" s="5" t="str">
        <f>HYPERLINK("https://www.amazon.com/Lifes-Other-Secret-Mathematics-Living/dp/0471158453", "Life's Other Secret: The New Mathematics of the Living World")</f>
        <v>Life's Other Secret: The New Mathematics of the Living World</v>
      </c>
      <c r="B252" s="6" t="s">
        <v>8</v>
      </c>
      <c r="C252" s="13" t="s">
        <v>423</v>
      </c>
      <c r="D252" s="7">
        <v>1998</v>
      </c>
      <c r="F252" s="6" t="s">
        <v>371</v>
      </c>
    </row>
    <row r="253" spans="1:6" ht="30" customHeight="1" x14ac:dyDescent="0.2">
      <c r="A253" s="5" t="str">
        <f>HYPERLINK("https://www.amazon.com/Magical-Maze-Seeing-Through-Mathematical-dp-0471350656/dp/0471350656?me=", "The Magical Maze: Seeing the World Through Mathematical Eyes")</f>
        <v>The Magical Maze: Seeing the World Through Mathematical Eyes</v>
      </c>
      <c r="B253" s="6" t="s">
        <v>8</v>
      </c>
      <c r="C253" s="13" t="s">
        <v>423</v>
      </c>
      <c r="D253" s="7">
        <v>1998</v>
      </c>
      <c r="F253" s="6" t="s">
        <v>425</v>
      </c>
    </row>
    <row r="254" spans="1:6" ht="24.6" customHeight="1" x14ac:dyDescent="0.2">
      <c r="A254" s="5" t="str">
        <f>HYPERLINK("https://www.amazon.com/Does-Play-Dice-Mathematics-Chaos/dp/0631232516", "Does God Play Dice? The New Mathematics of Chaos")</f>
        <v>Does God Play Dice? The New Mathematics of Chaos</v>
      </c>
      <c r="B254" s="6" t="s">
        <v>8</v>
      </c>
      <c r="C254" s="6" t="s">
        <v>91</v>
      </c>
      <c r="D254" s="7">
        <v>2002</v>
      </c>
      <c r="E254" s="8" t="s">
        <v>221</v>
      </c>
    </row>
    <row r="255" spans="1:6" ht="24.6" customHeight="1" x14ac:dyDescent="0.2">
      <c r="A255" s="5" t="str">
        <f>HYPERLINK("https://www.amazon.com/How-Cut-Cake-Mathematical-Conundrums/dp/0199205906", "How to Cut a Cake: And Other Mathematical Conundrums")</f>
        <v>How to Cut a Cake: And Other Mathematical Conundrums</v>
      </c>
      <c r="B255" s="6" t="s">
        <v>8</v>
      </c>
      <c r="C255" s="6" t="s">
        <v>207</v>
      </c>
      <c r="D255" s="7">
        <v>2006</v>
      </c>
      <c r="E255" s="8" t="s">
        <v>222</v>
      </c>
    </row>
    <row r="256" spans="1:6" ht="24.6" customHeight="1" x14ac:dyDescent="0.2">
      <c r="A256" s="5" t="str">
        <f>HYPERLINK("https://www.amazon.com/Symmetry-Very-Short-Introduction-Introductions-ebook/dp/B00CZ9Q2II", "Symmetry: A Very Short Introduction")</f>
        <v>Symmetry: A Very Short Introduction</v>
      </c>
      <c r="B256" s="6" t="s">
        <v>8</v>
      </c>
      <c r="C256" s="6" t="s">
        <v>207</v>
      </c>
      <c r="D256" s="7">
        <v>2013</v>
      </c>
      <c r="F256" s="6" t="s">
        <v>232</v>
      </c>
    </row>
    <row r="257" spans="1:6" ht="24.6" customHeight="1" x14ac:dyDescent="0.2">
      <c r="A257" s="5" t="str">
        <f>HYPERLINK("https://www.amazon.com/Visions-Infinity-Great-Mathematical-Problems/dp/0465064892", "Visions of Infinity")</f>
        <v>Visions of Infinity</v>
      </c>
      <c r="B257" s="6" t="s">
        <v>8</v>
      </c>
      <c r="C257" s="6" t="s">
        <v>2</v>
      </c>
      <c r="D257" s="7">
        <v>2013</v>
      </c>
    </row>
    <row r="258" spans="1:6" ht="24.6" customHeight="1" x14ac:dyDescent="0.2">
      <c r="A258" s="5" t="str">
        <f>HYPERLINK("https://www.amazon.com/Concepts-Modern-Mathematics-Dover-Books/dp/0486284247", "Concepts of Modern Mathematics")</f>
        <v>Concepts of Modern Mathematics</v>
      </c>
      <c r="B258" s="6" t="s">
        <v>8</v>
      </c>
      <c r="C258" s="6" t="s">
        <v>242</v>
      </c>
      <c r="D258" s="7">
        <v>2015</v>
      </c>
      <c r="F258" s="6" t="s">
        <v>317</v>
      </c>
    </row>
    <row r="259" spans="1:6" ht="24.6" customHeight="1" x14ac:dyDescent="0.2">
      <c r="A259" s="5" t="str">
        <f>HYPERLINK("https://www.amazon.com/Significant-Figures-Lives-Great-Mathematicians/dp/0465096123", "Significant Figures")</f>
        <v>Significant Figures</v>
      </c>
      <c r="B259" s="6" t="s">
        <v>8</v>
      </c>
      <c r="C259" s="6" t="s">
        <v>2</v>
      </c>
      <c r="D259" s="7">
        <v>2017</v>
      </c>
      <c r="F259" s="6" t="s">
        <v>270</v>
      </c>
    </row>
    <row r="260" spans="1:6" ht="24.6" customHeight="1" x14ac:dyDescent="0.2">
      <c r="A260" s="5" t="str">
        <f>HYPERLINK("https://www.amazon.com/Infinity-Very-Short-Introduction-Introductions/dp/0198755236", "Infinity: A Very Short Introduction")</f>
        <v>Infinity: A Very Short Introduction</v>
      </c>
      <c r="B260" s="6" t="s">
        <v>8</v>
      </c>
      <c r="C260" s="6" t="s">
        <v>207</v>
      </c>
      <c r="D260" s="7">
        <v>2018</v>
      </c>
    </row>
    <row r="261" spans="1:6" ht="24.6" customHeight="1" x14ac:dyDescent="0.2">
      <c r="A261" s="5" t="str">
        <f>HYPERLINK("https://www.amazon.com/Roads-Infinity-Mathematics-Truth-Proof-ebook/dp/B00UVAPWJI", "Roads to Infinity: The Mathematics of Truth and Proof")</f>
        <v>Roads to Infinity: The Mathematics of Truth and Proof</v>
      </c>
      <c r="B261" s="6" t="s">
        <v>134</v>
      </c>
      <c r="C261" s="6" t="s">
        <v>10</v>
      </c>
      <c r="D261" s="7">
        <v>2010</v>
      </c>
      <c r="E261" s="8" t="s">
        <v>222</v>
      </c>
      <c r="F261" s="6" t="s">
        <v>247</v>
      </c>
    </row>
    <row r="262" spans="1:6" ht="24.6" customHeight="1" x14ac:dyDescent="0.2">
      <c r="A262" s="5" t="str">
        <f>HYPERLINK("https://www.amazon.com/Elements-Mathematics-Euclid-John-Stillwell/dp/0691178542", "Elements of Mathematics: From Euclid to Godel")</f>
        <v>Elements of Mathematics: From Euclid to Godel</v>
      </c>
      <c r="B262" s="6" t="s">
        <v>134</v>
      </c>
      <c r="C262" s="6" t="s">
        <v>208</v>
      </c>
      <c r="D262" s="7">
        <v>2016</v>
      </c>
      <c r="F262" s="6" t="s">
        <v>310</v>
      </c>
    </row>
    <row r="263" spans="1:6" s="10" customFormat="1" ht="24.6" customHeight="1" x14ac:dyDescent="0.2">
      <c r="A263" s="9" t="str">
        <f>HYPERLINK("https://www.amazon.com/Joy-Guided-Tour-Math-Infinity/dp/0544105850", "The Joy of x: A Guided Tour of Math, from One to Infinity")</f>
        <v>The Joy of x: A Guided Tour of Math, from One to Infinity</v>
      </c>
      <c r="B263" s="10" t="s">
        <v>404</v>
      </c>
      <c r="C263" s="10" t="s">
        <v>168</v>
      </c>
      <c r="D263" s="12">
        <v>2013</v>
      </c>
      <c r="E263" s="11"/>
      <c r="F263" s="10" t="s">
        <v>371</v>
      </c>
    </row>
    <row r="264" spans="1:6" ht="24.6" customHeight="1" x14ac:dyDescent="0.2">
      <c r="A264" s="5" t="str">
        <f>HYPERLINK("https://www.amazon.com/Concise-History-Mathematics-Fourth-Revised/dp/0486602559", "A Concise History of Mathematics")</f>
        <v>A Concise History of Mathematics</v>
      </c>
      <c r="B264" s="6" t="s">
        <v>426</v>
      </c>
      <c r="C264" s="13" t="s">
        <v>242</v>
      </c>
      <c r="D264" s="12">
        <v>1987</v>
      </c>
      <c r="E264" s="8" t="s">
        <v>221</v>
      </c>
    </row>
    <row r="265" spans="1:6" ht="25.9" customHeight="1" x14ac:dyDescent="0.2">
      <c r="A265" s="5" t="str">
        <f>HYPERLINK("https://www.amazon.com/Mathematics-Human-Flourishing-Francis/dp/0300258518", "Mathematics for Human Flourishing")</f>
        <v>Mathematics for Human Flourishing</v>
      </c>
      <c r="B265" s="6" t="s">
        <v>101</v>
      </c>
      <c r="C265" s="6" t="s">
        <v>212</v>
      </c>
      <c r="D265" s="7">
        <v>2020</v>
      </c>
    </row>
    <row r="266" spans="1:6" ht="34.15" customHeight="1" x14ac:dyDescent="0.2">
      <c r="A266" s="5" t="str">
        <f>HYPERLINK("https://www.amazon.com/Numbers-Rule-Mathematics-Democracy-Present/dp/0691209081", "Numbers Rule: The Vexing Mathematics of Democracy, from Plato to the Present")</f>
        <v>Numbers Rule: The Vexing Mathematics of Democracy, from Plato to the Present</v>
      </c>
      <c r="B266" s="6" t="s">
        <v>79</v>
      </c>
      <c r="C266" s="6" t="s">
        <v>208</v>
      </c>
      <c r="D266" s="7">
        <v>2010</v>
      </c>
      <c r="F266" s="6" t="s">
        <v>299</v>
      </c>
    </row>
    <row r="267" spans="1:6" ht="24.6" customHeight="1" x14ac:dyDescent="0.2">
      <c r="A267" s="5" t="str">
        <f>HYPERLINK("https://www.amazon.com/Pricing-Future-300-year-Black-Scholes-Equation/dp/0465022480", "Pricing the Future")</f>
        <v>Pricing the Future</v>
      </c>
      <c r="B267" s="6" t="s">
        <v>79</v>
      </c>
      <c r="C267" s="6" t="s">
        <v>2</v>
      </c>
      <c r="D267" s="7">
        <v>2011</v>
      </c>
    </row>
    <row r="268" spans="1:6" ht="24.6" customHeight="1" x14ac:dyDescent="0.2">
      <c r="A268" s="5" t="str">
        <f>HYPERLINK("https://www.amazon.com/Mathematics-Galore-Classroom-Resource-Materials/dp/0883857766", "Mathematics Galore!")</f>
        <v>Mathematics Galore!</v>
      </c>
      <c r="B268" s="6" t="s">
        <v>138</v>
      </c>
      <c r="C268" s="6" t="s">
        <v>240</v>
      </c>
      <c r="D268" s="7">
        <v>2012</v>
      </c>
      <c r="F268" s="6" t="s">
        <v>312</v>
      </c>
    </row>
    <row r="269" spans="1:6" ht="33" customHeight="1" x14ac:dyDescent="0.2">
      <c r="A269" s="5" t="str">
        <f>HYPERLINK("https://www.amazon.com/Famous-Problems-Mathematics-Mathematical-Antiquity/dp/B0006BLRKK", "Famous Problems of Mathematics: Solved and Unsolved Mathematical Problems, from Antiquity to Modern Times")</f>
        <v>Famous Problems of Mathematics: Solved and Unsolved Mathematical Problems, from Antiquity to Modern Times</v>
      </c>
      <c r="B269" s="6" t="s">
        <v>94</v>
      </c>
      <c r="C269" s="6" t="s">
        <v>95</v>
      </c>
      <c r="D269" s="7">
        <v>1965</v>
      </c>
      <c r="E269" s="8" t="s">
        <v>221</v>
      </c>
    </row>
    <row r="270" spans="1:6" ht="24.6" customHeight="1" x14ac:dyDescent="0.2">
      <c r="A270" s="5" t="str">
        <f>HYPERLINK("https://www.amazon.com/Birth-Theorem-Mathematical-C%C3%A9dric-Villani/dp/0374536678", "Birth of a Theorem")</f>
        <v>Birth of a Theorem</v>
      </c>
      <c r="B270" s="6" t="s">
        <v>329</v>
      </c>
      <c r="C270" s="6" t="s">
        <v>74</v>
      </c>
      <c r="D270" s="7">
        <v>2015</v>
      </c>
      <c r="F270" s="6" t="s">
        <v>295</v>
      </c>
    </row>
    <row r="271" spans="1:6" ht="24.6" customHeight="1" x14ac:dyDescent="0.2">
      <c r="A271" s="5" t="str">
        <f>HYPERLINK("https://www.amazon.com/Algorithms-Unplugged-Berthold-V%C3%B6cking/dp/3662506009", "Algorithms Unplugged")</f>
        <v>Algorithms Unplugged</v>
      </c>
      <c r="B271" s="6" t="s">
        <v>330</v>
      </c>
      <c r="C271" s="6" t="s">
        <v>12</v>
      </c>
      <c r="D271" s="7">
        <v>2011</v>
      </c>
      <c r="F271" s="6" t="s">
        <v>303</v>
      </c>
    </row>
    <row r="272" spans="1:6" ht="24.6" customHeight="1" x14ac:dyDescent="0.2">
      <c r="A272" s="5" t="str">
        <f>HYPERLINK("https://www.amazon.com/Everything-More-Compact-History-Infinity/dp/0393339289", "Everything and More: A Compact History of Infinity")</f>
        <v>Everything and More: A Compact History of Infinity</v>
      </c>
      <c r="B272" s="6" t="s">
        <v>92</v>
      </c>
      <c r="C272" s="6" t="s">
        <v>93</v>
      </c>
      <c r="D272" s="7">
        <v>2003</v>
      </c>
    </row>
    <row r="273" spans="1:6" ht="24.6" customHeight="1" x14ac:dyDescent="0.2">
      <c r="A273" s="5" t="str">
        <f>HYPERLINK("https://www.amazon.com/Nature-Statistics-Dover-Books-Mathematics/dp/0486779696", "The Nature of Statistics")</f>
        <v>The Nature of Statistics</v>
      </c>
      <c r="B273" s="6" t="s">
        <v>155</v>
      </c>
      <c r="C273" s="6" t="s">
        <v>242</v>
      </c>
      <c r="D273" s="7">
        <v>2014</v>
      </c>
      <c r="E273" s="8" t="s">
        <v>222</v>
      </c>
      <c r="F273" s="6" t="s">
        <v>315</v>
      </c>
    </row>
    <row r="274" spans="1:6" ht="35.450000000000003" customHeight="1" x14ac:dyDescent="0.2">
      <c r="A274" s="5" t="str">
        <f>HYPERLINK("https://www.amazon.com/Wealth-Numbers-Anthology-Popular-Mathematics/dp/0691147752", "A Wealth of Numbers: An Anthology of 500 Years of Popular Mathematics Writing")</f>
        <v>A Wealth of Numbers: An Anthology of 500 Years of Popular Mathematics Writing</v>
      </c>
      <c r="B274" s="6" t="s">
        <v>346</v>
      </c>
      <c r="C274" s="6" t="s">
        <v>208</v>
      </c>
      <c r="D274" s="7">
        <v>2012</v>
      </c>
      <c r="E274" s="8" t="s">
        <v>221</v>
      </c>
      <c r="F274" s="6" t="s">
        <v>288</v>
      </c>
    </row>
    <row r="275" spans="1:6" ht="24.6" customHeight="1" x14ac:dyDescent="0.2">
      <c r="A275" s="5" t="str">
        <f>HYPERLINK("https://www.amazon.com/Lady-Luck-Theory-Probability-Mathematics/dp/0486243427", "Lady Luck: The Theory of Probability")</f>
        <v>Lady Luck: The Theory of Probability</v>
      </c>
      <c r="B275" s="6" t="s">
        <v>176</v>
      </c>
      <c r="C275" s="6" t="s">
        <v>242</v>
      </c>
      <c r="D275" s="7">
        <v>1982</v>
      </c>
      <c r="E275" s="8" t="s">
        <v>223</v>
      </c>
      <c r="F275" s="6" t="s">
        <v>322</v>
      </c>
    </row>
    <row r="276" spans="1:6" ht="24.6" customHeight="1" x14ac:dyDescent="0.2">
      <c r="A276" s="5" t="str">
        <f>HYPERLINK("https://www.amazon.com/Aesthetics-Science-Design-Collection/dp/3764333790", "On Aesthetics in Science")</f>
        <v>On Aesthetics in Science</v>
      </c>
      <c r="B276" s="6" t="s">
        <v>347</v>
      </c>
      <c r="C276" s="6" t="s">
        <v>22</v>
      </c>
      <c r="D276" s="7">
        <v>1988</v>
      </c>
    </row>
    <row r="277" spans="1:6" ht="24.6" customHeight="1" x14ac:dyDescent="0.2">
      <c r="A277" s="5" t="str">
        <f>HYPERLINK("https://www.amazon.com/Penguin-Book-Curious-Interesting-Numbers/dp/0140261494", "The Penguin Book of Curious and Interesting Numbers")</f>
        <v>The Penguin Book of Curious and Interesting Numbers</v>
      </c>
      <c r="B277" s="6" t="s">
        <v>23</v>
      </c>
      <c r="C277" s="13" t="s">
        <v>57</v>
      </c>
      <c r="D277" s="7">
        <v>1998</v>
      </c>
      <c r="F277" s="6" t="s">
        <v>371</v>
      </c>
    </row>
    <row r="278" spans="1:6" ht="24.6" customHeight="1" x14ac:dyDescent="0.2">
      <c r="A278" s="5" t="str">
        <f>HYPERLINK("https://www.amazon.com/Games-Mathematics-Connections-David-Wells/dp/1107690919", "Games and Mathematics: Subtle Connections")</f>
        <v>Games and Mathematics: Subtle Connections</v>
      </c>
      <c r="B278" s="6" t="s">
        <v>23</v>
      </c>
      <c r="C278" s="6" t="s">
        <v>210</v>
      </c>
      <c r="D278" s="7">
        <v>2013</v>
      </c>
      <c r="F278" s="6" t="s">
        <v>274</v>
      </c>
    </row>
    <row r="279" spans="1:6" ht="24.6" customHeight="1" x14ac:dyDescent="0.2">
      <c r="A279" s="9" t="str">
        <f>HYPERLINK("https://www.amazon.com/Curious-Interesting-Geometry-Penguin-Dictionary/dp/0140118136", "The Penguin Dictionary of Curious and Interesting Geometry")</f>
        <v>The Penguin Dictionary of Curious and Interesting Geometry</v>
      </c>
      <c r="B279" s="6" t="s">
        <v>427</v>
      </c>
      <c r="C279" s="13" t="s">
        <v>57</v>
      </c>
      <c r="D279" s="7">
        <v>1992</v>
      </c>
      <c r="F279" s="6" t="s">
        <v>371</v>
      </c>
    </row>
    <row r="280" spans="1:6" ht="24.6" customHeight="1" x14ac:dyDescent="0.2">
      <c r="A280" s="5" t="str">
        <f>HYPERLINK("https://www.amazon.com/Introduction-Mathematics-N-Whitehead-Sc-D/dp/1537077422", "An Introduction to Mathematics")</f>
        <v>An Introduction to Mathematics</v>
      </c>
      <c r="B280" s="6" t="s">
        <v>157</v>
      </c>
      <c r="C280" s="6" t="s">
        <v>207</v>
      </c>
      <c r="D280" s="7">
        <v>1958</v>
      </c>
      <c r="F280" s="6" t="s">
        <v>317</v>
      </c>
    </row>
    <row r="281" spans="1:6" s="10" customFormat="1" ht="24.6" customHeight="1" x14ac:dyDescent="0.2">
      <c r="A281" s="9" t="str">
        <f>HYPERLINK("https://www.amazon.com/Four-Colors-Suffice-Problem-Solved/dp/0691120234", "Four Colors Suffice: How the Map Problem Was Solved")</f>
        <v>Four Colors Suffice: How the Map Problem Was Solved</v>
      </c>
      <c r="B281" s="10" t="s">
        <v>407</v>
      </c>
      <c r="C281" s="10" t="s">
        <v>406</v>
      </c>
      <c r="D281" s="12">
        <v>2004</v>
      </c>
      <c r="E281" s="11" t="s">
        <v>223</v>
      </c>
      <c r="F281" s="10" t="s">
        <v>405</v>
      </c>
    </row>
    <row r="282" spans="1:6" ht="24.6" customHeight="1" x14ac:dyDescent="0.3">
      <c r="A282" s="5" t="str">
        <f>HYPERLINK("https://www.amazon.com/Timing-Biological-Scientific-American-Library/dp/071675018X", "The Timing of Biological Clocks")</f>
        <v>The Timing of Biological Clocks</v>
      </c>
      <c r="B282" s="6" t="s">
        <v>331</v>
      </c>
      <c r="C282" s="6" t="s">
        <v>198</v>
      </c>
      <c r="D282" s="7">
        <v>1987</v>
      </c>
      <c r="E282" s="8" t="s">
        <v>221</v>
      </c>
      <c r="F282" s="6" t="s">
        <v>264</v>
      </c>
    </row>
    <row r="283" spans="1:6" ht="24.6" customHeight="1" x14ac:dyDescent="0.3">
      <c r="A283" s="5" t="str">
        <f>HYPERLINK("https://www.amazon.com/Honors-Class-Hilberts-Problems-Solvers/dp/1568811411", "The Honors Class: Hilbert's Problems and their Solvers")</f>
        <v>The Honors Class: Hilbert's Problems and their Solvers</v>
      </c>
      <c r="B283" s="6" t="s">
        <v>9</v>
      </c>
      <c r="C283" s="6" t="s">
        <v>10</v>
      </c>
      <c r="D283" s="7">
        <v>2001</v>
      </c>
      <c r="E283" s="8" t="s">
        <v>221</v>
      </c>
      <c r="F283" s="6" t="s">
        <v>270</v>
      </c>
    </row>
    <row r="284" spans="1:6" ht="24.6" customHeight="1" x14ac:dyDescent="0.2">
      <c r="A284" s="5" t="str">
        <f>HYPERLINK("https://www.amazon.com/Shape-Inner-Space-Universes-Dimensions-ebook/dp/B003Z9JMOS", "The Shape of Inner Space")</f>
        <v>The Shape of Inner Space</v>
      </c>
      <c r="B284" s="6" t="s">
        <v>1</v>
      </c>
      <c r="C284" s="6" t="s">
        <v>2</v>
      </c>
      <c r="D284" s="7">
        <v>2010</v>
      </c>
      <c r="F284" s="6" t="s">
        <v>266</v>
      </c>
    </row>
    <row r="285" spans="1:6" ht="24.6" customHeight="1" x14ac:dyDescent="0.2">
      <c r="A285" s="5" t="str">
        <f>HYPERLINK("https://www.amazon.com/Do-Count-Gunter-M-Ziegler/dp/1466564911", "Do I Count? Stories from Mathematics")</f>
        <v>Do I Count? Stories from Mathematics</v>
      </c>
      <c r="B285" s="6" t="s">
        <v>89</v>
      </c>
      <c r="C285" s="6" t="s">
        <v>90</v>
      </c>
      <c r="D285" s="7">
        <v>2013</v>
      </c>
    </row>
  </sheetData>
  <printOptions gridLines="1"/>
  <pageMargins left="0.7" right="0.7" top="0.5" bottom="0.5" header="0.3" footer="0.3"/>
  <pageSetup paperSize="9" scale="54" fitToHeight="0" pageOrder="overThenDown" orientation="portrait" r:id="rId1"/>
  <headerFooter>
    <oddHeader>&amp;L&amp;"-,Bold"&amp;10The MAA's Basic Library List
General Reading &amp; Recreational Maths&amp;R&amp;"Courier,Bold"&amp;10https://www.maa.org/press/maa-reviews/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MAA BLL</vt:lpstr>
      <vt:lpstr>'MAA BLL'!Print_Titles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Optipex</dc:creator>
  <cp:lastModifiedBy>Optipex</cp:lastModifiedBy>
  <cp:lastPrinted>2022-10-21T10:20:20Z</cp:lastPrinted>
  <dcterms:created xsi:type="dcterms:W3CDTF">2022-10-21T04:13:19Z</dcterms:created>
  <dcterms:modified xsi:type="dcterms:W3CDTF">2022-10-25T03:16:36Z</dcterms:modified>
</cp:coreProperties>
</file>